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60" yWindow="-80" windowWidth="24740" windowHeight="14500" tabRatio="500"/>
  </bookViews>
  <sheets>
    <sheet name="Angers" sheetId="1" r:id="rId1"/>
    <sheet name="France en 2015" sheetId="2" r:id="rId2"/>
  </sheets>
  <definedNames>
    <definedName name="_xlnm.Print_Area" localSheetId="0">Angers!$A$1:$I$56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3" i="1"/>
  <c r="H57"/>
  <c r="D43"/>
  <c r="D57"/>
  <c r="E57"/>
  <c r="F57"/>
  <c r="G57"/>
  <c r="D42"/>
  <c r="D46"/>
  <c r="D51"/>
  <c r="D58"/>
  <c r="E58"/>
  <c r="F58"/>
  <c r="G42"/>
  <c r="G51"/>
  <c r="G58"/>
  <c r="H51"/>
  <c r="H58"/>
  <c r="C43"/>
  <c r="C42"/>
  <c r="C46"/>
  <c r="C51"/>
  <c r="C58"/>
  <c r="C57"/>
  <c r="B42"/>
  <c r="B51"/>
  <c r="B58"/>
  <c r="H1"/>
  <c r="G1"/>
  <c r="C5"/>
  <c r="H36"/>
  <c r="H50"/>
  <c r="K26"/>
  <c r="K23"/>
  <c r="K22"/>
  <c r="H22"/>
  <c r="J22"/>
  <c r="C49"/>
  <c r="D49"/>
  <c r="E49"/>
  <c r="F49"/>
  <c r="G49"/>
  <c r="H49"/>
  <c r="B49"/>
  <c r="J3"/>
  <c r="G4"/>
  <c r="J42"/>
  <c r="J46"/>
  <c r="J51"/>
  <c r="H52"/>
  <c r="B36"/>
  <c r="B50"/>
  <c r="B52"/>
  <c r="C37"/>
  <c r="C38"/>
  <c r="C39"/>
  <c r="C36"/>
  <c r="C50"/>
  <c r="C52"/>
  <c r="D50"/>
  <c r="D52"/>
  <c r="E52"/>
  <c r="F52"/>
  <c r="G36"/>
  <c r="G50"/>
  <c r="G52"/>
  <c r="G27"/>
  <c r="G23"/>
  <c r="J27"/>
  <c r="J26"/>
  <c r="J28"/>
  <c r="H44"/>
  <c r="H5"/>
  <c r="H6"/>
  <c r="H30"/>
  <c r="H4"/>
  <c r="H19"/>
  <c r="H20"/>
  <c r="H32"/>
  <c r="E36"/>
  <c r="H28"/>
  <c r="E1"/>
  <c r="F1"/>
  <c r="D1"/>
  <c r="C28"/>
  <c r="B47"/>
  <c r="C47"/>
  <c r="D23"/>
  <c r="C23"/>
  <c r="D16"/>
  <c r="E16"/>
  <c r="C29"/>
  <c r="C30"/>
  <c r="F5"/>
  <c r="F30"/>
  <c r="D19"/>
  <c r="E22"/>
  <c r="I48"/>
  <c r="D53"/>
  <c r="F32"/>
  <c r="G19"/>
  <c r="E48"/>
  <c r="F48"/>
  <c r="G48"/>
  <c r="H48"/>
  <c r="B48"/>
  <c r="C48"/>
  <c r="D48"/>
  <c r="F19"/>
  <c r="F10"/>
  <c r="F55"/>
  <c r="F8"/>
  <c r="G8"/>
  <c r="D27"/>
  <c r="G30"/>
  <c r="F14"/>
  <c r="E14"/>
  <c r="D14"/>
  <c r="E10"/>
  <c r="E12"/>
  <c r="D10"/>
  <c r="F12"/>
  <c r="C12"/>
  <c r="C8"/>
  <c r="G20"/>
  <c r="D20"/>
  <c r="E19"/>
  <c r="E18"/>
  <c r="E20"/>
  <c r="F20"/>
  <c r="E23"/>
  <c r="F23"/>
  <c r="F25"/>
  <c r="F22"/>
  <c r="E7"/>
  <c r="E29"/>
  <c r="D28"/>
  <c r="F28"/>
  <c r="G28"/>
  <c r="E28"/>
  <c r="E47"/>
  <c r="M1" i="2"/>
</calcChain>
</file>

<file path=xl/sharedStrings.xml><?xml version="1.0" encoding="utf-8"?>
<sst xmlns="http://schemas.openxmlformats.org/spreadsheetml/2006/main" count="105" uniqueCount="105">
  <si>
    <t>CENTRALESUPELEC 0 30 176 13 838 48 167 103 668 16 102 0 211 951 25 611 133 12 272 921 -188 945 0</t>
  </si>
  <si>
    <t>CENTRE TECHNIQUE DU LIVRE 0 0 0 0 0 0 683 731 -3 419 -477 858</t>
  </si>
  <si>
    <t>AIX-MARSEILLE -495 004 331 936 823 268 605 276 4 023 090 -158 623 121 344 5 251 287 441 137 331 46 222 861 -2 926 428 0</t>
  </si>
  <si>
    <t>AMIENS 10 570 293 432 278 340 191 556 636 390 221 119 79 360 1 710 768 138 481 507 13 167 913 -767 669 0</t>
  </si>
  <si>
    <t>CLERMONT-FERRAND I 69 952 910 112 137 299 82 535 69 859 33 659 0 1 303 416 81 001 224 10 419 877 -546 167 0</t>
  </si>
  <si>
    <t>CLERMONT-FERRAND II 0 378 408 142 508 184 254 402 452 40 200 41 131 1 188 953 118 877 107 14 702 498 -780 928 0</t>
  </si>
  <si>
    <t>ARTOIS 0 115 152 82 570 156 009 352 671 10 337 191 488 908 227 95 280 520 9 157 010 -608 210 -24 238 138</t>
  </si>
  <si>
    <t>AVIGNON 0 630 560 125 271 50 939 172 723 32 498 0 1 011 991 41 815 025 4 810 675 -318 843 0</t>
  </si>
  <si>
    <t>ANGERS</t>
    <phoneticPr fontId="22" type="noConversion"/>
  </si>
  <si>
    <t xml:space="preserve">ETABLISSEMENTS </t>
    <phoneticPr fontId="22" type="noConversion"/>
  </si>
  <si>
    <t>hospitalo-universitaires, etc.Actualisation diverses :</t>
    <phoneticPr fontId="22" type="noConversion"/>
  </si>
  <si>
    <t>Créations d'emplois (EAP 2014 et part d'année 2015)</t>
    <phoneticPr fontId="22" type="noConversion"/>
  </si>
  <si>
    <t>CAS pension des titularisations (EAP 2014 sur 2015</t>
    <phoneticPr fontId="22" type="noConversion"/>
  </si>
  <si>
    <t>Réforme de la cat. B et C : part 2015</t>
    <phoneticPr fontId="22" type="noConversion"/>
  </si>
  <si>
    <t>GVT</t>
  </si>
  <si>
    <t>Compensation de l'exonération des droits des étudiants boursiers</t>
    <phoneticPr fontId="22" type="noConversion"/>
  </si>
  <si>
    <t>Compensation des droits des fonctionnaires stagiaires dans les ESPE</t>
    <phoneticPr fontId="22" type="noConversion"/>
  </si>
  <si>
    <t>Total des moyens nouveaux 2015 déjà répartis</t>
    <phoneticPr fontId="22" type="noConversion"/>
  </si>
  <si>
    <t>Masse salariale</t>
    <phoneticPr fontId="22" type="noConversion"/>
  </si>
  <si>
    <t>Fonctionnement</t>
  </si>
  <si>
    <t>Mise en réserve (total)</t>
  </si>
  <si>
    <t>Mobilisation des fonds de roulement</t>
    <phoneticPr fontId="22" type="noConversion"/>
  </si>
  <si>
    <t>BORDEAUX -229 773 833 104 480 331 445 155 1 597 528 82 735 119 979 3 329 059 290 061 839 33 851 739 -1 997 038 0</t>
  </si>
  <si>
    <t>BORDEAUX III 0 339 904 82 852 83 104 67 328 153 440 0 726 628 68 235 185 5 773 984 -445 600 0</t>
  </si>
  <si>
    <t>BREST 71 904 0 176 849 168 876 548 476 74 203 101 035 1 141 343 126 264 243 14 521 787 -743 307 0</t>
  </si>
  <si>
    <t>BRETAGNE SUD 0 627 784 166 444 59 623 174 251 45 809 0 1 073 911 54 785 690 5 643 659 -410 171 -1 108 532</t>
  </si>
  <si>
    <t>CAEN -29 288 0 184 082 222 282 562 053 162 676 48 299 1 150 104 164 159 744 15 875 299 -975 365 0</t>
  </si>
  <si>
    <t>CAMPUS FRANCE -66 414 0 0 0 -66 414 0 1 810 885 -45 036 0</t>
  </si>
  <si>
    <t>CASA VELASQUEZ MADRID 55 250 0 0 0 55 250 0 6 334 480 -10 712 0</t>
  </si>
  <si>
    <t>heures complémentaires</t>
    <phoneticPr fontId="22" type="noConversion"/>
  </si>
  <si>
    <t>heures complémentaires de vacation</t>
    <phoneticPr fontId="22" type="noConversion"/>
  </si>
  <si>
    <r>
      <t>en bleu,</t>
    </r>
    <r>
      <rPr>
        <sz val="10"/>
        <rFont val="Arial"/>
        <charset val="204"/>
      </rPr>
      <t xml:space="preserve"> les données Ministères</t>
    </r>
    <phoneticPr fontId="22" type="noConversion"/>
  </si>
  <si>
    <t>2016 (BP)</t>
  </si>
  <si>
    <t>CERGY-PONTOISE 0 109 600 106 249 129 919 123 834 -2 355 406 016 873 263 106 228 234 11 472 639 -727 036 0</t>
  </si>
  <si>
    <t>CHAMBERY 0 885 488 144 894 92 131 245 327 29 003 0 1 396 843 76 267 973 8 757 072 -552 676 0</t>
  </si>
  <si>
    <t>CINES 0 0 0 0 0 0 4 698 600 -23 493 0</t>
  </si>
  <si>
    <t>dépenses de fonctionnement (dont dot. aux amortissements sur ressources propres)</t>
    <phoneticPr fontId="22" type="noConversion"/>
  </si>
  <si>
    <t>Plafond UA</t>
    <phoneticPr fontId="22" type="noConversion"/>
  </si>
  <si>
    <t>cotisations et charges sociales</t>
  </si>
  <si>
    <t>total des dépenses par étudiant</t>
    <phoneticPr fontId="22" type="noConversion"/>
  </si>
  <si>
    <t>CNAM 0 0 186 185 148 700 130 482 0 0 465 367 84 081 097 18 153 236 -96 125 0</t>
  </si>
  <si>
    <t>COLLEGE DE FRANCE 0 137 000 0 44 269 17 674 0 0 198 943 24 006 786 7 298 065 -199 564 0</t>
  </si>
  <si>
    <t>CORSE 0 339 904 34 084 34 704 22 829 0 6 656 438 177 35 285 394 778 512 -152 254 -2 500 000</t>
  </si>
  <si>
    <t>CUFR CHAMPOLLION 0 0 44 605 0 44 605 0 4 503 933 -132 169 0</t>
  </si>
  <si>
    <t>CUFR MAYOTTE 0 0 0 853 853 0 1 613 364 -56 902 0</t>
  </si>
  <si>
    <t>DIJON 21 181 370 080 213 579 228 273 451 322 157 949 69 973 1 512 358 168 550 686 19 834 257 -1 080 899 -1 033 288</t>
  </si>
  <si>
    <t>Valeur ajoutée corrigée des subventions</t>
    <phoneticPr fontId="22" type="noConversion"/>
  </si>
  <si>
    <t>trésorerie  (nb de jours de fctmt)</t>
    <phoneticPr fontId="22" type="noConversion"/>
  </si>
  <si>
    <t>plafond d'emploi total</t>
    <phoneticPr fontId="22" type="noConversion"/>
  </si>
  <si>
    <t>années</t>
    <phoneticPr fontId="22" type="noConversion"/>
  </si>
  <si>
    <t>2015 (BP)</t>
    <phoneticPr fontId="22" type="noConversion"/>
  </si>
  <si>
    <t>11,67*</t>
    <phoneticPr fontId="22" type="noConversion"/>
  </si>
  <si>
    <t>Calcul SYMPA en emplois</t>
    <phoneticPr fontId="22" type="noConversion"/>
  </si>
  <si>
    <t>total des recettes</t>
    <phoneticPr fontId="22" type="noConversion"/>
  </si>
  <si>
    <t>ETPT moyenne annuelle</t>
    <phoneticPr fontId="22" type="noConversion"/>
  </si>
  <si>
    <t>plafonds d'emploi état (Titre 2 et Titre 3 réserve comprise)</t>
    <phoneticPr fontId="22" type="noConversion"/>
  </si>
  <si>
    <r>
      <t xml:space="preserve">fond de roulement (nb de jours de fctmt) </t>
    </r>
    <r>
      <rPr>
        <i/>
        <sz val="10"/>
        <rFont val="Arial"/>
        <charset val="204"/>
      </rPr>
      <t>mobilisable</t>
    </r>
    <phoneticPr fontId="22" type="noConversion"/>
  </si>
  <si>
    <t>ETPT Titre 3 (ATER, LECT, POST-DOC)</t>
    <phoneticPr fontId="22" type="noConversion"/>
  </si>
  <si>
    <t>ressources propre (Chiffre d'Affaire Hors Taxe)</t>
    <phoneticPr fontId="22" type="noConversion"/>
  </si>
  <si>
    <t>résultat d'exploitation de l'exercice</t>
    <phoneticPr fontId="22" type="noConversion"/>
  </si>
  <si>
    <t>fond de roulement net global</t>
    <phoneticPr fontId="22" type="noConversion"/>
  </si>
  <si>
    <t>trésorerie</t>
    <phoneticPr fontId="22" type="noConversion"/>
  </si>
  <si>
    <t>ABES 0 0 0 0 0 0 20 589 547 -12 384 0</t>
  </si>
  <si>
    <t>ACADEMIE DES SCIENCES DE l'OM 0 0 0 0 0 0 222 561 -1 113 -155 546</t>
  </si>
  <si>
    <t>ATER, LECT, POST-DOC (Titre 2, ex T3)</t>
    <phoneticPr fontId="22" type="noConversion"/>
  </si>
  <si>
    <t>Taux d'encadrement global ETPT</t>
    <phoneticPr fontId="22" type="noConversion"/>
  </si>
  <si>
    <t>Taux d'encadrement en ETPT Titre 2 E et EC</t>
    <phoneticPr fontId="22" type="noConversion"/>
  </si>
  <si>
    <t>ANTILLES 2 586 715 -225 990 88 881 107 826 139 427 237 657 17 920 2 952 436 72 214 849 6 422 852 -447 154 0</t>
  </si>
  <si>
    <t>rémunérations principales et accessoires des fonctionnaires et contractuels +congés payés+indemnité et supplément familial</t>
    <phoneticPr fontId="22" type="noConversion"/>
  </si>
  <si>
    <t>dont primes et gratifications</t>
    <phoneticPr fontId="22" type="noConversion"/>
  </si>
  <si>
    <t>Besoin en FdR (jours de dépenses globales)</t>
    <phoneticPr fontId="22" type="noConversion"/>
  </si>
  <si>
    <t>BESANCON 105 412 115 152 45 053 204 722 474 980 59 588 41 131 1 046 039 146 236 218 15 303 652 -862 450 0</t>
  </si>
  <si>
    <t>BNU STRASBOURG 341 000 0 0 0 341 000 0 2 708 846 -13 544 0</t>
  </si>
  <si>
    <t>variation du FdR Net Global</t>
    <phoneticPr fontId="22" type="noConversion"/>
  </si>
  <si>
    <t>variation de la trésorerie</t>
    <phoneticPr fontId="22" type="noConversion"/>
  </si>
  <si>
    <t>Calcul SYMPA en dotation</t>
    <phoneticPr fontId="22" type="noConversion"/>
  </si>
  <si>
    <t>dotation (*année pleine) au titre des 1000 emplois pour l'ESR</t>
    <phoneticPr fontId="22" type="noConversion"/>
  </si>
  <si>
    <t>% masse salariale / ress.d'exploit. Encaissables</t>
    <phoneticPr fontId="22" type="noConversion"/>
  </si>
  <si>
    <t>masse salariale des ANT</t>
    <phoneticPr fontId="22" type="noConversion"/>
  </si>
  <si>
    <t>dépenses d'investissement</t>
    <phoneticPr fontId="22" type="noConversion"/>
  </si>
  <si>
    <t>subvention collectivités (Région+CG+Agglo)</t>
    <phoneticPr fontId="22" type="noConversion"/>
  </si>
  <si>
    <t>GVT</t>
    <phoneticPr fontId="22" type="noConversion"/>
  </si>
  <si>
    <t>subvention état (dot global+ANR)</t>
    <phoneticPr fontId="22" type="noConversion"/>
  </si>
  <si>
    <t>TA, dons et Legs</t>
    <phoneticPr fontId="22" type="noConversion"/>
  </si>
  <si>
    <t>subventions Autres</t>
    <phoneticPr fontId="22" type="noConversion"/>
  </si>
  <si>
    <t>subvention UE</t>
    <phoneticPr fontId="22" type="noConversion"/>
  </si>
  <si>
    <t>total des dépenses</t>
    <phoneticPr fontId="22" type="noConversion"/>
  </si>
  <si>
    <t>masse salariale</t>
    <phoneticPr fontId="22" type="noConversion"/>
  </si>
  <si>
    <t>% des ressources propre / budget</t>
    <phoneticPr fontId="22" type="noConversion"/>
  </si>
  <si>
    <t>CAF</t>
    <phoneticPr fontId="22" type="noConversion"/>
  </si>
  <si>
    <t>ta</t>
    <phoneticPr fontId="22" type="noConversion"/>
  </si>
  <si>
    <t>taux d'encadrement</t>
    <phoneticPr fontId="22" type="noConversion"/>
  </si>
  <si>
    <t>taux d'encadrement en étudiants / personnel</t>
    <phoneticPr fontId="22" type="noConversion"/>
  </si>
  <si>
    <t>% des ANT</t>
    <phoneticPr fontId="22" type="noConversion"/>
  </si>
  <si>
    <t>Agents Non Titulaires en ETPT</t>
    <phoneticPr fontId="22" type="noConversion"/>
  </si>
  <si>
    <t>rapport budget de fonctionnement/Investissement</t>
    <phoneticPr fontId="22" type="noConversion"/>
  </si>
  <si>
    <t>effectif étudiants</t>
    <phoneticPr fontId="22" type="noConversion"/>
  </si>
  <si>
    <t>Plafond EC</t>
    <phoneticPr fontId="22" type="noConversion"/>
  </si>
  <si>
    <t>Plafond BIATSS</t>
    <phoneticPr fontId="22" type="noConversion"/>
  </si>
  <si>
    <t>Réserves</t>
    <phoneticPr fontId="22" type="noConversion"/>
  </si>
  <si>
    <t>Fonds propres + dons et legs en capital</t>
    <phoneticPr fontId="22" type="noConversion"/>
  </si>
  <si>
    <t>ECART (plafonds état -ETPT état moyenne annuelle)</t>
    <phoneticPr fontId="22" type="noConversion"/>
  </si>
  <si>
    <r>
      <t xml:space="preserve">ETP Travaillés état </t>
    </r>
    <r>
      <rPr>
        <b/>
        <i/>
        <sz val="10"/>
        <rFont val="Arial"/>
        <charset val="204"/>
      </rPr>
      <t>ou</t>
    </r>
    <r>
      <rPr>
        <b/>
        <sz val="10"/>
        <rFont val="Arial"/>
        <charset val="204"/>
      </rPr>
      <t xml:space="preserve"> </t>
    </r>
    <r>
      <rPr>
        <b/>
        <i/>
        <sz val="10"/>
        <rFont val="Arial"/>
        <charset val="204"/>
      </rPr>
      <t>Emplois en 2009 et 2011</t>
    </r>
    <phoneticPr fontId="22" type="noConversion"/>
  </si>
  <si>
    <r>
      <t xml:space="preserve">ETPT Titre 2 (E + EC) </t>
    </r>
    <r>
      <rPr>
        <i/>
        <sz val="10"/>
        <rFont val="Arial"/>
        <charset val="204"/>
      </rPr>
      <t>ou Emplois</t>
    </r>
    <r>
      <rPr>
        <sz val="10"/>
        <rFont val="Arial"/>
        <charset val="204"/>
      </rPr>
      <t xml:space="preserve"> </t>
    </r>
    <r>
      <rPr>
        <i/>
        <sz val="10"/>
        <rFont val="Arial"/>
        <charset val="204"/>
      </rPr>
      <t>en 2009 et 2011</t>
    </r>
    <phoneticPr fontId="22" type="noConversion"/>
  </si>
  <si>
    <t>ETPT Titre 2 (BIATSS) ou Emplois en 2009 et 2011</t>
    <phoneticPr fontId="22" type="noConversion"/>
  </si>
</sst>
</file>

<file path=xl/styles.xml><?xml version="1.0" encoding="utf-8"?>
<styleSheet xmlns="http://schemas.openxmlformats.org/spreadsheetml/2006/main">
  <numFmts count="7">
    <numFmt numFmtId="6" formatCode="&quot;€&quot;#,##0_);[Red]\(&quot;€&quot;#,##0\)"/>
    <numFmt numFmtId="164" formatCode="&quot;€&quot;#,##0_);[Red]\(&quot;€&quot;#,##0\)"/>
    <numFmt numFmtId="165" formatCode="#,##0&quot;€&quot;;[Red]#,##0&quot;€&quot;"/>
    <numFmt numFmtId="166" formatCode="0.0_ ;[Red]\-0.0\ "/>
    <numFmt numFmtId="167" formatCode="#,##0&quot;€&quot;"/>
    <numFmt numFmtId="168" formatCode="0.0"/>
    <numFmt numFmtId="169" formatCode="#,##0.00&quot;€&quot;;[Red]#,##0.00&quot;€&quot;"/>
  </numFmts>
  <fonts count="32">
    <font>
      <sz val="10"/>
      <name val="Arial"/>
      <charset val="204"/>
    </font>
    <font>
      <b/>
      <sz val="10"/>
      <name val="Arial"/>
      <charset val="204"/>
    </font>
    <font>
      <i/>
      <sz val="10"/>
      <name val="Arial"/>
      <charset val="204"/>
    </font>
    <font>
      <b/>
      <i/>
      <sz val="10"/>
      <name val="Arial"/>
      <charset val="204"/>
    </font>
    <font>
      <b/>
      <sz val="10"/>
      <name val="Arial"/>
      <charset val="204"/>
    </font>
    <font>
      <i/>
      <sz val="10"/>
      <name val="Arial"/>
      <charset val="204"/>
    </font>
    <font>
      <b/>
      <sz val="10"/>
      <name val="Arial"/>
      <charset val="204"/>
    </font>
    <font>
      <i/>
      <sz val="10"/>
      <name val="Arial"/>
      <charset val="204"/>
    </font>
    <font>
      <sz val="10"/>
      <name val="Arial"/>
      <charset val="204"/>
    </font>
    <font>
      <sz val="10"/>
      <name val="Arial"/>
      <charset val="204"/>
    </font>
    <font>
      <i/>
      <sz val="10"/>
      <name val="Arial"/>
      <charset val="204"/>
    </font>
    <font>
      <i/>
      <sz val="10"/>
      <name val="Arial"/>
      <charset val="204"/>
    </font>
    <font>
      <b/>
      <sz val="10"/>
      <name val="Arial"/>
      <charset val="204"/>
    </font>
    <font>
      <b/>
      <i/>
      <sz val="10"/>
      <name val="Arial"/>
      <charset val="204"/>
    </font>
    <font>
      <sz val="10"/>
      <name val="Arial"/>
      <charset val="204"/>
    </font>
    <font>
      <b/>
      <sz val="10"/>
      <name val="Arial"/>
      <charset val="204"/>
    </font>
    <font>
      <sz val="10"/>
      <name val="Arial"/>
      <charset val="204"/>
    </font>
    <font>
      <b/>
      <sz val="10"/>
      <name val="Arial"/>
      <charset val="204"/>
    </font>
    <font>
      <i/>
      <sz val="10"/>
      <name val="Arial"/>
      <charset val="204"/>
    </font>
    <font>
      <b/>
      <i/>
      <sz val="10"/>
      <name val="Arial"/>
      <charset val="204"/>
    </font>
    <font>
      <sz val="10"/>
      <name val="Arial"/>
      <charset val="204"/>
    </font>
    <font>
      <b/>
      <sz val="10"/>
      <name val="Arial"/>
      <charset val="204"/>
    </font>
    <font>
      <sz val="8"/>
      <name val="Arial"/>
    </font>
    <font>
      <b/>
      <sz val="10"/>
      <color indexed="17"/>
      <name val="Arial"/>
    </font>
    <font>
      <sz val="10"/>
      <color indexed="17"/>
      <name val="Arial"/>
    </font>
    <font>
      <i/>
      <sz val="10"/>
      <color indexed="17"/>
      <name val="Arial"/>
    </font>
    <font>
      <b/>
      <sz val="10"/>
      <color indexed="9"/>
      <name val="Arial"/>
    </font>
    <font>
      <b/>
      <i/>
      <sz val="10"/>
      <color indexed="9"/>
      <name val="Arial"/>
    </font>
    <font>
      <sz val="11"/>
      <color indexed="17"/>
      <name val="Calibri"/>
      <family val="2"/>
    </font>
    <font>
      <sz val="10"/>
      <color indexed="12"/>
      <name val="Arial"/>
    </font>
    <font>
      <b/>
      <sz val="10"/>
      <color indexed="12"/>
      <name val="Arial"/>
    </font>
    <font>
      <sz val="10"/>
      <color indexed="12"/>
      <name val="Arial Black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28" fillId="10" borderId="0" applyNumberFormat="0" applyBorder="0" applyAlignment="0" applyProtection="0"/>
  </cellStyleXfs>
  <cellXfs count="126">
    <xf numFmtId="0" fontId="0" fillId="0" borderId="0" xfId="0"/>
    <xf numFmtId="0" fontId="17" fillId="0" borderId="0" xfId="0" applyFont="1"/>
    <xf numFmtId="0" fontId="20" fillId="0" borderId="0" xfId="0" applyFont="1"/>
    <xf numFmtId="0" fontId="18" fillId="0" borderId="0" xfId="0" applyFont="1"/>
    <xf numFmtId="0" fontId="24" fillId="0" borderId="0" xfId="0" applyFont="1"/>
    <xf numFmtId="0" fontId="17" fillId="5" borderId="0" xfId="0" applyFont="1" applyFill="1"/>
    <xf numFmtId="0" fontId="0" fillId="5" borderId="0" xfId="0" applyFill="1"/>
    <xf numFmtId="0" fontId="20" fillId="5" borderId="0" xfId="0" applyFont="1" applyFill="1"/>
    <xf numFmtId="0" fontId="0" fillId="4" borderId="0" xfId="0" applyFill="1"/>
    <xf numFmtId="0" fontId="17" fillId="4" borderId="0" xfId="0" applyFont="1" applyFill="1"/>
    <xf numFmtId="0" fontId="20" fillId="4" borderId="0" xfId="0" applyFont="1" applyFill="1"/>
    <xf numFmtId="0" fontId="0" fillId="6" borderId="0" xfId="0" applyFill="1"/>
    <xf numFmtId="0" fontId="0" fillId="7" borderId="0" xfId="0" applyFill="1"/>
    <xf numFmtId="0" fontId="23" fillId="8" borderId="0" xfId="0" applyFont="1" applyFill="1"/>
    <xf numFmtId="165" fontId="17" fillId="4" borderId="2" xfId="0" applyNumberFormat="1" applyFont="1" applyFill="1" applyBorder="1"/>
    <xf numFmtId="166" fontId="21" fillId="4" borderId="2" xfId="0" applyNumberFormat="1" applyFont="1" applyFill="1" applyBorder="1" applyAlignment="1">
      <alignment horizontal="center"/>
    </xf>
    <xf numFmtId="9" fontId="0" fillId="6" borderId="2" xfId="0" applyNumberFormat="1" applyFill="1" applyBorder="1"/>
    <xf numFmtId="166" fontId="21" fillId="5" borderId="2" xfId="0" applyNumberFormat="1" applyFont="1" applyFill="1" applyBorder="1"/>
    <xf numFmtId="166" fontId="0" fillId="5" borderId="2" xfId="0" applyNumberFormat="1" applyFill="1" applyBorder="1"/>
    <xf numFmtId="166" fontId="20" fillId="5" borderId="2" xfId="0" applyNumberFormat="1" applyFont="1" applyFill="1" applyBorder="1"/>
    <xf numFmtId="166" fontId="17" fillId="5" borderId="2" xfId="0" applyNumberFormat="1" applyFont="1" applyFill="1" applyBorder="1"/>
    <xf numFmtId="164" fontId="0" fillId="5" borderId="2" xfId="0" applyNumberFormat="1" applyFill="1" applyBorder="1"/>
    <xf numFmtId="0" fontId="24" fillId="8" borderId="2" xfId="0" applyFont="1" applyFill="1" applyBorder="1"/>
    <xf numFmtId="0" fontId="24" fillId="8" borderId="3" xfId="0" applyFont="1" applyFill="1" applyBorder="1"/>
    <xf numFmtId="165" fontId="0" fillId="7" borderId="2" xfId="0" applyNumberFormat="1" applyFill="1" applyBorder="1"/>
    <xf numFmtId="10" fontId="0" fillId="7" borderId="2" xfId="0" applyNumberFormat="1" applyFill="1" applyBorder="1"/>
    <xf numFmtId="2" fontId="24" fillId="8" borderId="3" xfId="0" applyNumberFormat="1" applyFont="1" applyFill="1" applyBorder="1" applyAlignment="1">
      <alignment horizontal="right"/>
    </xf>
    <xf numFmtId="165" fontId="19" fillId="4" borderId="2" xfId="0" applyNumberFormat="1" applyFont="1" applyFill="1" applyBorder="1"/>
    <xf numFmtId="166" fontId="19" fillId="4" borderId="2" xfId="0" applyNumberFormat="1" applyFont="1" applyFill="1" applyBorder="1" applyAlignment="1">
      <alignment horizontal="center"/>
    </xf>
    <xf numFmtId="164" fontId="18" fillId="4" borderId="2" xfId="0" applyNumberFormat="1" applyFont="1" applyFill="1" applyBorder="1" applyAlignment="1">
      <alignment horizontal="center"/>
    </xf>
    <xf numFmtId="9" fontId="18" fillId="6" borderId="2" xfId="0" applyNumberFormat="1" applyFont="1" applyFill="1" applyBorder="1"/>
    <xf numFmtId="166" fontId="19" fillId="5" borderId="2" xfId="0" applyNumberFormat="1" applyFont="1" applyFill="1" applyBorder="1"/>
    <xf numFmtId="166" fontId="18" fillId="5" borderId="2" xfId="0" applyNumberFormat="1" applyFont="1" applyFill="1" applyBorder="1"/>
    <xf numFmtId="164" fontId="18" fillId="5" borderId="2" xfId="0" applyNumberFormat="1" applyFont="1" applyFill="1" applyBorder="1"/>
    <xf numFmtId="0" fontId="25" fillId="8" borderId="2" xfId="0" applyFont="1" applyFill="1" applyBorder="1"/>
    <xf numFmtId="0" fontId="25" fillId="8" borderId="3" xfId="0" applyFont="1" applyFill="1" applyBorder="1"/>
    <xf numFmtId="0" fontId="0" fillId="3" borderId="0" xfId="0" applyFill="1"/>
    <xf numFmtId="0" fontId="18" fillId="3" borderId="2" xfId="0" applyFont="1" applyFill="1" applyBorder="1"/>
    <xf numFmtId="167" fontId="24" fillId="8" borderId="2" xfId="0" applyNumberFormat="1" applyFont="1" applyFill="1" applyBorder="1"/>
    <xf numFmtId="167" fontId="25" fillId="8" borderId="2" xfId="0" applyNumberFormat="1" applyFont="1" applyFill="1" applyBorder="1"/>
    <xf numFmtId="0" fontId="0" fillId="3" borderId="2" xfId="0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166" fontId="17" fillId="4" borderId="2" xfId="0" applyNumberFormat="1" applyFont="1" applyFill="1" applyBorder="1" applyAlignment="1">
      <alignment horizontal="center"/>
    </xf>
    <xf numFmtId="0" fontId="20" fillId="4" borderId="2" xfId="0" applyNumberFormat="1" applyFont="1" applyFill="1" applyBorder="1" applyAlignment="1">
      <alignment horizontal="center"/>
    </xf>
    <xf numFmtId="0" fontId="18" fillId="4" borderId="2" xfId="0" applyNumberFormat="1" applyFont="1" applyFill="1" applyBorder="1" applyAlignment="1">
      <alignment horizontal="center"/>
    </xf>
    <xf numFmtId="10" fontId="0" fillId="5" borderId="2" xfId="0" applyNumberFormat="1" applyFill="1" applyBorder="1"/>
    <xf numFmtId="0" fontId="2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7" fillId="9" borderId="0" xfId="0" applyFont="1" applyFill="1"/>
    <xf numFmtId="165" fontId="17" fillId="9" borderId="2" xfId="0" applyNumberFormat="1" applyFont="1" applyFill="1" applyBorder="1"/>
    <xf numFmtId="165" fontId="19" fillId="9" borderId="2" xfId="0" applyNumberFormat="1" applyFont="1" applyFill="1" applyBorder="1"/>
    <xf numFmtId="0" fontId="0" fillId="9" borderId="0" xfId="0" applyFill="1"/>
    <xf numFmtId="165" fontId="0" fillId="4" borderId="2" xfId="0" applyNumberFormat="1" applyFill="1" applyBorder="1"/>
    <xf numFmtId="165" fontId="18" fillId="4" borderId="2" xfId="0" applyNumberFormat="1" applyFont="1" applyFill="1" applyBorder="1"/>
    <xf numFmtId="165" fontId="17" fillId="4" borderId="2" xfId="0" applyNumberFormat="1" applyFont="1" applyFill="1" applyBorder="1"/>
    <xf numFmtId="165" fontId="19" fillId="4" borderId="2" xfId="0" applyNumberFormat="1" applyFont="1" applyFill="1" applyBorder="1"/>
    <xf numFmtId="165" fontId="16" fillId="6" borderId="2" xfId="0" applyNumberFormat="1" applyFont="1" applyFill="1" applyBorder="1"/>
    <xf numFmtId="164" fontId="15" fillId="4" borderId="2" xfId="0" applyNumberFormat="1" applyFont="1" applyFill="1" applyBorder="1" applyAlignment="1">
      <alignment horizontal="right"/>
    </xf>
    <xf numFmtId="167" fontId="0" fillId="0" borderId="0" xfId="0" applyNumberFormat="1"/>
    <xf numFmtId="0" fontId="0" fillId="0" borderId="0" xfId="0" applyNumberFormat="1"/>
    <xf numFmtId="167" fontId="29" fillId="3" borderId="0" xfId="0" applyNumberFormat="1" applyFont="1" applyFill="1" applyProtection="1">
      <protection locked="0"/>
    </xf>
    <xf numFmtId="165" fontId="30" fillId="4" borderId="2" xfId="0" applyNumberFormat="1" applyFont="1" applyFill="1" applyBorder="1"/>
    <xf numFmtId="166" fontId="30" fillId="4" borderId="2" xfId="0" applyNumberFormat="1" applyFont="1" applyFill="1" applyBorder="1" applyAlignment="1">
      <alignment horizontal="center"/>
    </xf>
    <xf numFmtId="0" fontId="29" fillId="4" borderId="2" xfId="0" applyNumberFormat="1" applyFont="1" applyFill="1" applyBorder="1" applyAlignment="1">
      <alignment horizontal="center"/>
    </xf>
    <xf numFmtId="165" fontId="29" fillId="6" borderId="2" xfId="0" applyNumberFormat="1" applyFont="1" applyFill="1" applyBorder="1"/>
    <xf numFmtId="165" fontId="30" fillId="4" borderId="2" xfId="0" applyNumberFormat="1" applyFont="1" applyFill="1" applyBorder="1"/>
    <xf numFmtId="0" fontId="29" fillId="0" borderId="0" xfId="0" applyFont="1"/>
    <xf numFmtId="165" fontId="0" fillId="9" borderId="2" xfId="0" applyNumberFormat="1" applyFill="1" applyBorder="1"/>
    <xf numFmtId="166" fontId="14" fillId="5" borderId="2" xfId="0" applyNumberFormat="1" applyFont="1" applyFill="1" applyBorder="1"/>
    <xf numFmtId="166" fontId="13" fillId="5" borderId="2" xfId="0" applyNumberFormat="1" applyFont="1" applyFill="1" applyBorder="1"/>
    <xf numFmtId="166" fontId="12" fillId="5" borderId="2" xfId="0" applyNumberFormat="1" applyFont="1" applyFill="1" applyBorder="1"/>
    <xf numFmtId="1" fontId="0" fillId="3" borderId="2" xfId="0" applyNumberFormat="1" applyFill="1" applyBorder="1"/>
    <xf numFmtId="1" fontId="18" fillId="3" borderId="2" xfId="0" applyNumberFormat="1" applyFont="1" applyFill="1" applyBorder="1"/>
    <xf numFmtId="10" fontId="0" fillId="0" borderId="0" xfId="0" applyNumberFormat="1"/>
    <xf numFmtId="165" fontId="20" fillId="3" borderId="2" xfId="0" applyNumberFormat="1" applyFont="1" applyFill="1" applyBorder="1" applyAlignment="1">
      <alignment horizontal="center"/>
    </xf>
    <xf numFmtId="166" fontId="11" fillId="4" borderId="2" xfId="0" applyNumberFormat="1" applyFont="1" applyFill="1" applyBorder="1" applyAlignment="1">
      <alignment horizontal="center"/>
    </xf>
    <xf numFmtId="165" fontId="11" fillId="4" borderId="2" xfId="0" applyNumberFormat="1" applyFont="1" applyFill="1" applyBorder="1"/>
    <xf numFmtId="164" fontId="20" fillId="4" borderId="2" xfId="0" applyNumberFormat="1" applyFont="1" applyFill="1" applyBorder="1" applyAlignment="1">
      <alignment horizontal="right"/>
    </xf>
    <xf numFmtId="164" fontId="18" fillId="4" borderId="2" xfId="0" applyNumberFormat="1" applyFont="1" applyFill="1" applyBorder="1" applyAlignment="1">
      <alignment horizontal="right"/>
    </xf>
    <xf numFmtId="164" fontId="18" fillId="4" borderId="2" xfId="0" applyNumberFormat="1" applyFont="1" applyFill="1" applyBorder="1" applyAlignment="1">
      <alignment horizontal="center"/>
    </xf>
    <xf numFmtId="0" fontId="9" fillId="5" borderId="0" xfId="0" applyFont="1" applyFill="1"/>
    <xf numFmtId="166" fontId="9" fillId="5" borderId="2" xfId="0" applyNumberFormat="1" applyFont="1" applyFill="1" applyBorder="1"/>
    <xf numFmtId="166" fontId="10" fillId="5" borderId="2" xfId="0" applyNumberFormat="1" applyFont="1" applyFill="1" applyBorder="1"/>
    <xf numFmtId="0" fontId="14" fillId="0" borderId="0" xfId="0" applyFont="1"/>
    <xf numFmtId="9" fontId="17" fillId="0" borderId="0" xfId="0" applyNumberFormat="1" applyFont="1"/>
    <xf numFmtId="165" fontId="0" fillId="0" borderId="0" xfId="0" applyNumberFormat="1"/>
    <xf numFmtId="165" fontId="8" fillId="6" borderId="2" xfId="0" applyNumberFormat="1" applyFont="1" applyFill="1" applyBorder="1"/>
    <xf numFmtId="165" fontId="7" fillId="6" borderId="2" xfId="0" applyNumberFormat="1" applyFont="1" applyFill="1" applyBorder="1"/>
    <xf numFmtId="9" fontId="7" fillId="6" borderId="2" xfId="0" applyNumberFormat="1" applyFont="1" applyFill="1" applyBorder="1"/>
    <xf numFmtId="10" fontId="7" fillId="6" borderId="2" xfId="0" applyNumberFormat="1" applyFont="1" applyFill="1" applyBorder="1"/>
    <xf numFmtId="165" fontId="6" fillId="9" borderId="2" xfId="0" applyNumberFormat="1" applyFont="1" applyFill="1" applyBorder="1"/>
    <xf numFmtId="165" fontId="8" fillId="9" borderId="2" xfId="0" applyNumberFormat="1" applyFont="1" applyFill="1" applyBorder="1"/>
    <xf numFmtId="165" fontId="7" fillId="9" borderId="2" xfId="0" applyNumberFormat="1" applyFont="1" applyFill="1" applyBorder="1"/>
    <xf numFmtId="165" fontId="8" fillId="4" borderId="2" xfId="0" applyNumberFormat="1" applyFont="1" applyFill="1" applyBorder="1"/>
    <xf numFmtId="0" fontId="20" fillId="7" borderId="0" xfId="0" applyFont="1" applyFill="1"/>
    <xf numFmtId="164" fontId="20" fillId="7" borderId="2" xfId="0" applyNumberFormat="1" applyFont="1" applyFill="1" applyBorder="1" applyAlignment="1">
      <alignment horizontal="right"/>
    </xf>
    <xf numFmtId="164" fontId="18" fillId="7" borderId="2" xfId="0" applyNumberFormat="1" applyFont="1" applyFill="1" applyBorder="1" applyAlignment="1">
      <alignment horizontal="right"/>
    </xf>
    <xf numFmtId="164" fontId="18" fillId="7" borderId="2" xfId="0" applyNumberFormat="1" applyFont="1" applyFill="1" applyBorder="1" applyAlignment="1">
      <alignment horizontal="center"/>
    </xf>
    <xf numFmtId="0" fontId="15" fillId="7" borderId="0" xfId="0" applyFont="1" applyFill="1"/>
    <xf numFmtId="164" fontId="30" fillId="7" borderId="2" xfId="0" applyNumberFormat="1" applyFont="1" applyFill="1" applyBorder="1" applyAlignment="1">
      <alignment horizontal="right"/>
    </xf>
    <xf numFmtId="165" fontId="14" fillId="7" borderId="2" xfId="0" applyNumberFormat="1" applyFont="1" applyFill="1" applyBorder="1"/>
    <xf numFmtId="165" fontId="18" fillId="7" borderId="2" xfId="0" applyNumberFormat="1" applyFont="1" applyFill="1" applyBorder="1"/>
    <xf numFmtId="10" fontId="18" fillId="7" borderId="2" xfId="0" applyNumberFormat="1" applyFont="1" applyFill="1" applyBorder="1"/>
    <xf numFmtId="0" fontId="17" fillId="7" borderId="0" xfId="0" applyFont="1" applyFill="1"/>
    <xf numFmtId="164" fontId="30" fillId="7" borderId="2" xfId="0" applyNumberFormat="1" applyFont="1" applyFill="1" applyBorder="1"/>
    <xf numFmtId="164" fontId="17" fillId="7" borderId="2" xfId="0" applyNumberFormat="1" applyFont="1" applyFill="1" applyBorder="1"/>
    <xf numFmtId="164" fontId="6" fillId="7" borderId="2" xfId="0" applyNumberFormat="1" applyFont="1" applyFill="1" applyBorder="1"/>
    <xf numFmtId="165" fontId="19" fillId="7" borderId="2" xfId="0" applyNumberFormat="1" applyFont="1" applyFill="1" applyBorder="1"/>
    <xf numFmtId="165" fontId="8" fillId="7" borderId="2" xfId="0" applyNumberFormat="1" applyFont="1" applyFill="1" applyBorder="1"/>
    <xf numFmtId="166" fontId="6" fillId="5" borderId="2" xfId="0" applyNumberFormat="1" applyFont="1" applyFill="1" applyBorder="1"/>
    <xf numFmtId="166" fontId="8" fillId="5" borderId="2" xfId="0" applyNumberFormat="1" applyFont="1" applyFill="1" applyBorder="1"/>
    <xf numFmtId="166" fontId="0" fillId="0" borderId="0" xfId="0" applyNumberFormat="1"/>
    <xf numFmtId="166" fontId="17" fillId="0" borderId="0" xfId="0" applyNumberFormat="1" applyFont="1"/>
    <xf numFmtId="168" fontId="31" fillId="5" borderId="2" xfId="0" applyNumberFormat="1" applyFont="1" applyFill="1" applyBorder="1"/>
    <xf numFmtId="0" fontId="5" fillId="3" borderId="2" xfId="0" applyFont="1" applyFill="1" applyBorder="1" applyAlignment="1">
      <alignment horizontal="center"/>
    </xf>
    <xf numFmtId="169" fontId="0" fillId="0" borderId="0" xfId="0" applyNumberFormat="1"/>
    <xf numFmtId="0" fontId="0" fillId="0" borderId="0" xfId="0" applyAlignment="1">
      <alignment textRotation="90"/>
    </xf>
    <xf numFmtId="165" fontId="0" fillId="0" borderId="0" xfId="0" applyNumberFormat="1"/>
    <xf numFmtId="165" fontId="0" fillId="0" borderId="0" xfId="0" applyNumberFormat="1" applyAlignment="1"/>
    <xf numFmtId="0" fontId="26" fillId="9" borderId="0" xfId="0" applyFont="1" applyFill="1"/>
    <xf numFmtId="10" fontId="26" fillId="9" borderId="2" xfId="0" applyNumberFormat="1" applyFont="1" applyFill="1" applyBorder="1"/>
    <xf numFmtId="0" fontId="26" fillId="0" borderId="0" xfId="0" applyFont="1"/>
    <xf numFmtId="0" fontId="23" fillId="8" borderId="0" xfId="0" applyFont="1" applyFill="1" applyBorder="1"/>
    <xf numFmtId="2" fontId="4" fillId="0" borderId="0" xfId="0" applyNumberFormat="1" applyFont="1"/>
  </cellXfs>
  <cellStyles count="2">
    <cellStyle name="Normal" xfId="0" builtinId="0"/>
    <cellStyle name="Satisfaisant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18"/>
  <c:chart>
    <c:plotArea>
      <c:layout>
        <c:manualLayout>
          <c:layoutTarget val="inner"/>
          <c:xMode val="edge"/>
          <c:yMode val="edge"/>
          <c:x val="0.0819844729230275"/>
          <c:y val="0.0301129204879597"/>
          <c:w val="0.618462457817773"/>
          <c:h val="0.958594734329055"/>
        </c:manualLayout>
      </c:layout>
      <c:lineChart>
        <c:grouping val="standard"/>
        <c:ser>
          <c:idx val="0"/>
          <c:order val="0"/>
          <c:tx>
            <c:strRef>
              <c:f>Angers!$A$3</c:f>
              <c:strCache>
                <c:ptCount val="1"/>
                <c:pt idx="0">
                  <c:v>effectif étudiants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Angers!$B$3:$H$3</c:f>
              <c:numCache>
                <c:formatCode>General</c:formatCode>
                <c:ptCount val="7"/>
                <c:pt idx="0">
                  <c:v>18504.0</c:v>
                </c:pt>
                <c:pt idx="1">
                  <c:v>18514.0</c:v>
                </c:pt>
                <c:pt idx="2">
                  <c:v>19090.0</c:v>
                </c:pt>
                <c:pt idx="3">
                  <c:v>19117.0</c:v>
                </c:pt>
                <c:pt idx="4">
                  <c:v>19523.0</c:v>
                </c:pt>
                <c:pt idx="5">
                  <c:v>23238.0</c:v>
                </c:pt>
                <c:pt idx="6">
                  <c:v>21132.0</c:v>
                </c:pt>
              </c:numCache>
            </c:numRef>
          </c:val>
        </c:ser>
        <c:ser>
          <c:idx val="1"/>
          <c:order val="1"/>
          <c:tx>
            <c:strRef>
              <c:f>Angers!$A$4</c:f>
              <c:strCache>
                <c:ptCount val="1"/>
                <c:pt idx="0">
                  <c:v>total des dépenses par étudiant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Angers!$B$4:$H$4</c:f>
              <c:numCache>
                <c:formatCode>#\ ##0\€</c:formatCode>
                <c:ptCount val="7"/>
                <c:pt idx="0">
                  <c:v>2931.0</c:v>
                </c:pt>
                <c:pt idx="1">
                  <c:v>7371.0</c:v>
                </c:pt>
                <c:pt idx="2">
                  <c:v>7540.0</c:v>
                </c:pt>
                <c:pt idx="3">
                  <c:v>7257.0</c:v>
                </c:pt>
                <c:pt idx="4">
                  <c:v>7180.0</c:v>
                </c:pt>
                <c:pt idx="5" formatCode="#\ ##0\€;[Rouge]#\ ##0\€">
                  <c:v>6182.572080213444</c:v>
                </c:pt>
                <c:pt idx="6" formatCode="#\ ##0\€;[Rouge]#\ ##0\€">
                  <c:v>7115.15213893621</c:v>
                </c:pt>
              </c:numCache>
            </c:numRef>
          </c:val>
        </c:ser>
        <c:ser>
          <c:idx val="2"/>
          <c:order val="2"/>
          <c:tx>
            <c:strRef>
              <c:f>Angers!$A$5</c:f>
              <c:strCache>
                <c:ptCount val="1"/>
                <c:pt idx="0">
                  <c:v>total des recettes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Angers!$B$5:$H$5</c:f>
              <c:numCache>
                <c:formatCode>#\ ##0\€;[Rouge]#\ ##0\€</c:formatCode>
                <c:ptCount val="7"/>
                <c:pt idx="1">
                  <c:v>1.21312141E8</c:v>
                </c:pt>
                <c:pt idx="2">
                  <c:v>1.28325512E8</c:v>
                </c:pt>
                <c:pt idx="3">
                  <c:v>1.33713816E8</c:v>
                </c:pt>
                <c:pt idx="4">
                  <c:v>1.41802306E8</c:v>
                </c:pt>
                <c:pt idx="5">
                  <c:v>1.5297813E8</c:v>
                </c:pt>
                <c:pt idx="6">
                  <c:v>1.50316188E8</c:v>
                </c:pt>
              </c:numCache>
            </c:numRef>
          </c:val>
        </c:ser>
        <c:ser>
          <c:idx val="3"/>
          <c:order val="3"/>
          <c:tx>
            <c:strRef>
              <c:f>Angers!$A$6</c:f>
              <c:strCache>
                <c:ptCount val="1"/>
                <c:pt idx="0">
                  <c:v>total des dépenses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Angers!$B$6:$H$6</c:f>
              <c:numCache>
                <c:formatCode>#\ ##0\€;[Rouge]#\ ##0\€</c:formatCode>
                <c:ptCount val="7"/>
                <c:pt idx="0">
                  <c:v>4.0997452E7</c:v>
                </c:pt>
                <c:pt idx="1">
                  <c:v>1.24922923E8</c:v>
                </c:pt>
                <c:pt idx="2">
                  <c:v>1.31638623E8</c:v>
                </c:pt>
                <c:pt idx="3">
                  <c:v>1.33578201E8</c:v>
                </c:pt>
                <c:pt idx="4">
                  <c:v>1.39937564E8</c:v>
                </c:pt>
                <c:pt idx="5">
                  <c:v>1.4367061E8</c:v>
                </c:pt>
                <c:pt idx="6">
                  <c:v>1.50357395E8</c:v>
                </c:pt>
              </c:numCache>
            </c:numRef>
          </c:val>
        </c:ser>
        <c:ser>
          <c:idx val="4"/>
          <c:order val="4"/>
          <c:tx>
            <c:strRef>
              <c:f>Angers!$A$7</c:f>
              <c:strCache>
                <c:ptCount val="1"/>
                <c:pt idx="0">
                  <c:v>résultat d'exploitation de l'exercice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Angers!$B$7:$H$7</c:f>
              <c:numCache>
                <c:formatCode>\€#\ ##0_);[Rouge]\(\€#\ ##0\)</c:formatCode>
                <c:ptCount val="7"/>
                <c:pt idx="0" formatCode="#\ ##0\€;[Rouge]#\ ##0\€">
                  <c:v>4.121949E6</c:v>
                </c:pt>
                <c:pt idx="1">
                  <c:v>-384131.0</c:v>
                </c:pt>
                <c:pt idx="2">
                  <c:v>-3.313111E6</c:v>
                </c:pt>
                <c:pt idx="3">
                  <c:v>135615.0</c:v>
                </c:pt>
                <c:pt idx="4">
                  <c:v>1.864742E6</c:v>
                </c:pt>
                <c:pt idx="5">
                  <c:v>0.0</c:v>
                </c:pt>
                <c:pt idx="6" formatCode="#\ ##0\€;[Rouge]#\ ##0\€">
                  <c:v>41207.0</c:v>
                </c:pt>
              </c:numCache>
            </c:numRef>
          </c:val>
        </c:ser>
        <c:ser>
          <c:idx val="5"/>
          <c:order val="5"/>
          <c:tx>
            <c:strRef>
              <c:f>Angers!$A$8</c:f>
              <c:strCache>
                <c:ptCount val="1"/>
                <c:pt idx="0">
                  <c:v>fond de roulement net global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Angers!$B$8:$H$8</c:f>
              <c:numCache>
                <c:formatCode>#\ ##0\€;[Rouge]#\ ##0\€</c:formatCode>
                <c:ptCount val="7"/>
                <c:pt idx="0">
                  <c:v>2.7168533E7</c:v>
                </c:pt>
                <c:pt idx="1">
                  <c:v>2.3941883E7</c:v>
                </c:pt>
                <c:pt idx="2">
                  <c:v>1.3958227E7</c:v>
                </c:pt>
                <c:pt idx="3">
                  <c:v>1.2253507E7</c:v>
                </c:pt>
                <c:pt idx="4">
                  <c:v>1.3719569E7</c:v>
                </c:pt>
                <c:pt idx="5">
                  <c:v>1.3395668E7</c:v>
                </c:pt>
                <c:pt idx="6">
                  <c:v>7.220438E6</c:v>
                </c:pt>
              </c:numCache>
            </c:numRef>
          </c:val>
        </c:ser>
        <c:ser>
          <c:idx val="6"/>
          <c:order val="6"/>
          <c:tx>
            <c:strRef>
              <c:f>Angers!$A$12</c:f>
              <c:strCache>
                <c:ptCount val="1"/>
                <c:pt idx="0">
                  <c:v>trésorerie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Angers!$B$12:$H$12</c:f>
              <c:numCache>
                <c:formatCode>#\ ##0\€;[Rouge]#\ ##0\€</c:formatCode>
                <c:ptCount val="7"/>
                <c:pt idx="0">
                  <c:v>1.9591477E7</c:v>
                </c:pt>
                <c:pt idx="1">
                  <c:v>2.1287947E7</c:v>
                </c:pt>
                <c:pt idx="2">
                  <c:v>1.6781893E7</c:v>
                </c:pt>
                <c:pt idx="3">
                  <c:v>1.5505989E7</c:v>
                </c:pt>
                <c:pt idx="4">
                  <c:v>1.7431039E7</c:v>
                </c:pt>
                <c:pt idx="5">
                  <c:v>0.0</c:v>
                </c:pt>
              </c:numCache>
            </c:numRef>
          </c:val>
        </c:ser>
        <c:ser>
          <c:idx val="7"/>
          <c:order val="7"/>
          <c:tx>
            <c:strRef>
              <c:f>Angers!$A$16</c:f>
              <c:strCache>
                <c:ptCount val="1"/>
                <c:pt idx="0">
                  <c:v>Fonds propres + dons et legs en capital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Angers!$B$16:$H$16</c:f>
              <c:numCache>
                <c:formatCode>\€#\ ##0_);[Rouge]\(\€#\ ##0\)</c:formatCode>
                <c:ptCount val="7"/>
                <c:pt idx="2">
                  <c:v>1.6507216E7</c:v>
                </c:pt>
                <c:pt idx="3">
                  <c:v>1.6507216E7</c:v>
                </c:pt>
              </c:numCache>
            </c:numRef>
          </c:val>
        </c:ser>
        <c:ser>
          <c:idx val="8"/>
          <c:order val="8"/>
          <c:tx>
            <c:strRef>
              <c:f>Angers!$A$17</c:f>
              <c:strCache>
                <c:ptCount val="1"/>
                <c:pt idx="0">
                  <c:v>Valeur ajoutée corrigée des subventions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Angers!$B$17:$H$17</c:f>
              <c:numCache>
                <c:formatCode>\€#\ ##0_);[Rouge]\(\€#\ ##0\)</c:formatCode>
                <c:ptCount val="7"/>
                <c:pt idx="0">
                  <c:v>1.9598453E7</c:v>
                </c:pt>
                <c:pt idx="1">
                  <c:v>1.00236066E8</c:v>
                </c:pt>
                <c:pt idx="2">
                  <c:v>1.03051683E8</c:v>
                </c:pt>
                <c:pt idx="3">
                  <c:v>1.11206583E8</c:v>
                </c:pt>
                <c:pt idx="4">
                  <c:v>1.1420417E8</c:v>
                </c:pt>
              </c:numCache>
            </c:numRef>
          </c:val>
        </c:ser>
        <c:ser>
          <c:idx val="9"/>
          <c:order val="9"/>
          <c:tx>
            <c:strRef>
              <c:f>Angers!$A$18</c:f>
              <c:strCache>
                <c:ptCount val="1"/>
                <c:pt idx="0">
                  <c:v>ressources propre (Chiffre d'Affaire Hors Taxe)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Angers!$B$18:$H$18</c:f>
              <c:numCache>
                <c:formatCode>#\ ##0\€;[Rouge]#\ ##0\€</c:formatCode>
                <c:ptCount val="7"/>
                <c:pt idx="0">
                  <c:v>5.291961E6</c:v>
                </c:pt>
                <c:pt idx="1">
                  <c:v>6.846109E6</c:v>
                </c:pt>
                <c:pt idx="2">
                  <c:v>6.415731E6</c:v>
                </c:pt>
                <c:pt idx="3">
                  <c:v>7.09751E6</c:v>
                </c:pt>
                <c:pt idx="4">
                  <c:v>7.695278E6</c:v>
                </c:pt>
                <c:pt idx="5">
                  <c:v>1.2616057E7</c:v>
                </c:pt>
                <c:pt idx="6">
                  <c:v>1.3627688E7</c:v>
                </c:pt>
              </c:numCache>
            </c:numRef>
          </c:val>
        </c:ser>
        <c:ser>
          <c:idx val="10"/>
          <c:order val="10"/>
          <c:tx>
            <c:strRef>
              <c:f>Angers!$A$19</c:f>
              <c:strCache>
                <c:ptCount val="1"/>
                <c:pt idx="0">
                  <c:v>TA, dons et Legs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Angers!$B$19:$H$19</c:f>
              <c:numCache>
                <c:formatCode>#\ ##0\€;[Rouge]#\ ##0\€</c:formatCode>
                <c:ptCount val="7"/>
                <c:pt idx="0">
                  <c:v>830308.0</c:v>
                </c:pt>
                <c:pt idx="1">
                  <c:v>838909.0</c:v>
                </c:pt>
                <c:pt idx="2">
                  <c:v>897013.0</c:v>
                </c:pt>
                <c:pt idx="3">
                  <c:v>998597.0</c:v>
                </c:pt>
                <c:pt idx="4">
                  <c:v>987560.0</c:v>
                </c:pt>
                <c:pt idx="5">
                  <c:v>935965.0</c:v>
                </c:pt>
                <c:pt idx="6">
                  <c:v>868835.0</c:v>
                </c:pt>
              </c:numCache>
            </c:numRef>
          </c:val>
        </c:ser>
        <c:ser>
          <c:idx val="11"/>
          <c:order val="11"/>
          <c:tx>
            <c:strRef>
              <c:f>Angers!$A$21</c:f>
              <c:strCache>
                <c:ptCount val="1"/>
                <c:pt idx="0">
                  <c:v>CAF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Angers!$B$21:$H$21</c:f>
              <c:numCache>
                <c:formatCode>\€#\ ##0_);[Rouge]\(\€#\ ##0\)</c:formatCode>
                <c:ptCount val="7"/>
                <c:pt idx="0">
                  <c:v>3.467239E6</c:v>
                </c:pt>
                <c:pt idx="1">
                  <c:v>726280.0</c:v>
                </c:pt>
                <c:pt idx="2">
                  <c:v>-1.523835E6</c:v>
                </c:pt>
                <c:pt idx="3">
                  <c:v>2.568172E6</c:v>
                </c:pt>
                <c:pt idx="4">
                  <c:v>3.621872E6</c:v>
                </c:pt>
                <c:pt idx="5">
                  <c:v>3.67178139E6</c:v>
                </c:pt>
                <c:pt idx="6" formatCode="#\ ##0\€;[Rouge]#\ ##0\€">
                  <c:v>1.733207E6</c:v>
                </c:pt>
              </c:numCache>
            </c:numRef>
          </c:val>
        </c:ser>
        <c:ser>
          <c:idx val="12"/>
          <c:order val="12"/>
          <c:tx>
            <c:strRef>
              <c:f>Angers!$A$22</c:f>
              <c:strCache>
                <c:ptCount val="1"/>
                <c:pt idx="0">
                  <c:v>subvention état (dot global+ANR)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Angers!$B$22:$H$22</c:f>
              <c:numCache>
                <c:formatCode>#\ ##0\€;[Rouge]#\ ##0\€</c:formatCode>
                <c:ptCount val="7"/>
                <c:pt idx="0">
                  <c:v>2.2402239E7</c:v>
                </c:pt>
                <c:pt idx="1">
                  <c:v>1.03454668E8</c:v>
                </c:pt>
                <c:pt idx="2">
                  <c:v>1.0645929E8</c:v>
                </c:pt>
                <c:pt idx="3">
                  <c:v>1.09969131E8</c:v>
                </c:pt>
                <c:pt idx="4">
                  <c:v>1.13653222E8</c:v>
                </c:pt>
                <c:pt idx="5">
                  <c:v>1.14848487E8</c:v>
                </c:pt>
                <c:pt idx="6">
                  <c:v>1.17879389E8</c:v>
                </c:pt>
              </c:numCache>
            </c:numRef>
          </c:val>
        </c:ser>
        <c:ser>
          <c:idx val="13"/>
          <c:order val="13"/>
          <c:tx>
            <c:strRef>
              <c:f>Angers!$A$23</c:f>
              <c:strCache>
                <c:ptCount val="1"/>
                <c:pt idx="0">
                  <c:v>subvention collectivités (Région+CG+Agglo)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Angers!$B$23:$H$23</c:f>
              <c:numCache>
                <c:formatCode>#\ ##0\€;[Rouge]#\ ##0\€</c:formatCode>
                <c:ptCount val="7"/>
                <c:pt idx="0">
                  <c:v>3.669041E6</c:v>
                </c:pt>
                <c:pt idx="1">
                  <c:v>4.482154E6</c:v>
                </c:pt>
                <c:pt idx="2">
                  <c:v>4.485987E6</c:v>
                </c:pt>
                <c:pt idx="3">
                  <c:v>4.940363E6</c:v>
                </c:pt>
                <c:pt idx="4">
                  <c:v>2.829848E6</c:v>
                </c:pt>
                <c:pt idx="5">
                  <c:v>4.770349E6</c:v>
                </c:pt>
                <c:pt idx="6">
                  <c:v>6.541148E6</c:v>
                </c:pt>
              </c:numCache>
            </c:numRef>
          </c:val>
        </c:ser>
        <c:ser>
          <c:idx val="14"/>
          <c:order val="14"/>
          <c:tx>
            <c:strRef>
              <c:f>Angers!$A$26</c:f>
              <c:strCache>
                <c:ptCount val="1"/>
                <c:pt idx="0">
                  <c:v>dépenses d'investissement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Angers!$B$26:$H$26</c:f>
              <c:numCache>
                <c:formatCode>#\ ##0\€;[Rouge]#\ ##0\€</c:formatCode>
                <c:ptCount val="7"/>
                <c:pt idx="0">
                  <c:v>1.1106853E7</c:v>
                </c:pt>
                <c:pt idx="1">
                  <c:v>1.1475024E7</c:v>
                </c:pt>
                <c:pt idx="2">
                  <c:v>1.1031303E7</c:v>
                </c:pt>
                <c:pt idx="3">
                  <c:v>4.962413E6</c:v>
                </c:pt>
                <c:pt idx="4">
                  <c:v>5.338058E6</c:v>
                </c:pt>
                <c:pt idx="5">
                  <c:v>4.88854615E6</c:v>
                </c:pt>
                <c:pt idx="6">
                  <c:v>4.773254E6</c:v>
                </c:pt>
              </c:numCache>
            </c:numRef>
          </c:val>
        </c:ser>
        <c:ser>
          <c:idx val="15"/>
          <c:order val="15"/>
          <c:tx>
            <c:strRef>
              <c:f>Angers!$A$27</c:f>
              <c:strCache>
                <c:ptCount val="1"/>
                <c:pt idx="0">
                  <c:v>dépenses de fonctionnement (dont dot. aux amortissements sur ressources propres)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Angers!$B$27:$H$27</c:f>
              <c:numCache>
                <c:formatCode>#\ ##0\€;[Rouge]#\ ##0\€</c:formatCode>
                <c:ptCount val="7"/>
                <c:pt idx="1">
                  <c:v>1.5035126E7</c:v>
                </c:pt>
                <c:pt idx="2">
                  <c:v>1.7249437E7</c:v>
                </c:pt>
                <c:pt idx="3">
                  <c:v>2.8386994E7</c:v>
                </c:pt>
                <c:pt idx="4">
                  <c:v>2.7503961E7</c:v>
                </c:pt>
                <c:pt idx="5">
                  <c:v>2.8376136E7</c:v>
                </c:pt>
                <c:pt idx="6">
                  <c:v>3.424835E7</c:v>
                </c:pt>
              </c:numCache>
            </c:numRef>
          </c:val>
        </c:ser>
        <c:ser>
          <c:idx val="16"/>
          <c:order val="16"/>
          <c:tx>
            <c:strRef>
              <c:f>Angers!$A$29</c:f>
              <c:strCache>
                <c:ptCount val="1"/>
                <c:pt idx="0">
                  <c:v>masse salariale</c:v>
                </c:pt>
              </c:strCache>
            </c:strRef>
          </c:tx>
          <c:marker>
            <c:symbol val="none"/>
          </c:marker>
          <c:cat>
            <c:strRef>
              <c:f>Angers!$B$2:$H$2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(BP)</c:v>
                </c:pt>
              </c:strCache>
            </c:strRef>
          </c:cat>
          <c:val>
            <c:numRef>
              <c:f>Angers!$B$29:$H$29</c:f>
              <c:numCache>
                <c:formatCode>#\ ##0\€;[Rouge]#\ ##0\€</c:formatCode>
                <c:ptCount val="7"/>
                <c:pt idx="0">
                  <c:v>8.9999916E7</c:v>
                </c:pt>
                <c:pt idx="1">
                  <c:v>1.03110712E8</c:v>
                </c:pt>
                <c:pt idx="2">
                  <c:v>1.03357883E8</c:v>
                </c:pt>
                <c:pt idx="3">
                  <c:v>1.05191206E8</c:v>
                </c:pt>
                <c:pt idx="4">
                  <c:v>1.07363319E8</c:v>
                </c:pt>
                <c:pt idx="5">
                  <c:v>1.10405928E8</c:v>
                </c:pt>
                <c:pt idx="6">
                  <c:v>1.13482503E8</c:v>
                </c:pt>
              </c:numCache>
            </c:numRef>
          </c:val>
        </c:ser>
        <c:marker val="1"/>
        <c:axId val="398671240"/>
        <c:axId val="398673976"/>
      </c:lineChart>
      <c:catAx>
        <c:axId val="398671240"/>
        <c:scaling>
          <c:orientation val="minMax"/>
        </c:scaling>
        <c:axPos val="b"/>
        <c:tickLblPos val="nextTo"/>
        <c:crossAx val="398673976"/>
        <c:crosses val="autoZero"/>
        <c:auto val="1"/>
        <c:lblAlgn val="ctr"/>
        <c:lblOffset val="100"/>
      </c:catAx>
      <c:valAx>
        <c:axId val="398673976"/>
        <c:scaling>
          <c:orientation val="minMax"/>
        </c:scaling>
        <c:axPos val="l"/>
        <c:majorGridlines/>
        <c:numFmt formatCode="General" sourceLinked="1"/>
        <c:tickLblPos val="nextTo"/>
        <c:crossAx val="398671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118532</xdr:rowOff>
    </xdr:from>
    <xdr:to>
      <xdr:col>7</xdr:col>
      <xdr:colOff>211667</xdr:colOff>
      <xdr:row>103</xdr:row>
      <xdr:rowOff>8466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58"/>
  <sheetViews>
    <sheetView tabSelected="1" view="pageLayout" topLeftCell="A22" zoomScale="150" workbookViewId="0">
      <selection activeCell="F56" sqref="F56"/>
    </sheetView>
  </sheetViews>
  <sheetFormatPr baseColWidth="10" defaultRowHeight="12"/>
  <cols>
    <col min="1" max="1" width="47.33203125" customWidth="1"/>
    <col min="2" max="2" width="13.33203125" customWidth="1"/>
    <col min="3" max="3" width="13.83203125" customWidth="1"/>
    <col min="4" max="6" width="13.33203125" customWidth="1"/>
    <col min="7" max="7" width="13.33203125" style="3" customWidth="1"/>
    <col min="8" max="8" width="13.1640625" customWidth="1"/>
    <col min="9" max="9" width="11.33203125" bestFit="1" customWidth="1"/>
    <col min="11" max="11" width="13" bestFit="1" customWidth="1"/>
  </cols>
  <sheetData>
    <row r="1" spans="1:10">
      <c r="A1" s="68" t="s">
        <v>31</v>
      </c>
      <c r="B1" s="60"/>
      <c r="C1" s="61"/>
      <c r="D1" s="75">
        <f>(D3-C3)/C3</f>
        <v>3.1111591228259697E-2</v>
      </c>
      <c r="E1" s="75">
        <f t="shared" ref="E1:F1" si="0">(E3-D3)/D3</f>
        <v>1.4143530644316396E-3</v>
      </c>
      <c r="F1" s="75">
        <f t="shared" si="0"/>
        <v>2.1237641889417794E-2</v>
      </c>
      <c r="G1" s="75">
        <f>(G3-D3)/D3</f>
        <v>0.21728653745416449</v>
      </c>
      <c r="H1" s="75">
        <f>(H3-E3)/E3</f>
        <v>0.10540356750536171</v>
      </c>
    </row>
    <row r="2" spans="1:10" s="49" customFormat="1">
      <c r="A2" s="46" t="s">
        <v>49</v>
      </c>
      <c r="B2" s="47">
        <v>2009</v>
      </c>
      <c r="C2" s="47">
        <v>2010</v>
      </c>
      <c r="D2" s="47">
        <v>2011</v>
      </c>
      <c r="E2" s="47">
        <v>2012</v>
      </c>
      <c r="F2" s="47">
        <v>2013</v>
      </c>
      <c r="G2" s="47">
        <v>2014</v>
      </c>
      <c r="H2" s="48" t="s">
        <v>50</v>
      </c>
      <c r="I2" s="48" t="s">
        <v>32</v>
      </c>
      <c r="J2" s="49" t="s">
        <v>91</v>
      </c>
    </row>
    <row r="3" spans="1:10">
      <c r="A3" s="36" t="s">
        <v>96</v>
      </c>
      <c r="B3" s="40">
        <v>18504</v>
      </c>
      <c r="C3" s="40">
        <v>18514</v>
      </c>
      <c r="D3" s="40">
        <v>19090</v>
      </c>
      <c r="E3" s="40">
        <v>19117</v>
      </c>
      <c r="F3" s="40">
        <v>19523</v>
      </c>
      <c r="G3" s="41">
        <v>23238</v>
      </c>
      <c r="H3" s="116">
        <v>21132</v>
      </c>
      <c r="I3" s="37"/>
      <c r="J3">
        <f>G3/G51</f>
        <v>14.019909502262443</v>
      </c>
    </row>
    <row r="4" spans="1:10">
      <c r="A4" s="36" t="s">
        <v>39</v>
      </c>
      <c r="B4" s="62">
        <v>2931</v>
      </c>
      <c r="C4" s="62">
        <v>7371</v>
      </c>
      <c r="D4" s="62">
        <v>7540</v>
      </c>
      <c r="E4" s="62">
        <v>7257</v>
      </c>
      <c r="F4" s="62">
        <v>7180</v>
      </c>
      <c r="G4" s="76">
        <f>G6/G3</f>
        <v>6182.5720802134438</v>
      </c>
      <c r="H4" s="76">
        <f>H6/H3</f>
        <v>7115.1521389362106</v>
      </c>
      <c r="I4" s="37"/>
      <c r="J4" t="s">
        <v>90</v>
      </c>
    </row>
    <row r="5" spans="1:10">
      <c r="A5" s="8" t="s">
        <v>53</v>
      </c>
      <c r="B5" s="54"/>
      <c r="C5" s="54">
        <f>C6+C7+C10</f>
        <v>121312141</v>
      </c>
      <c r="D5" s="54">
        <v>128325512</v>
      </c>
      <c r="E5" s="54">
        <v>133713816</v>
      </c>
      <c r="F5" s="54">
        <f>F6+F7</f>
        <v>141802306</v>
      </c>
      <c r="G5" s="95">
        <v>152978130</v>
      </c>
      <c r="H5" s="55">
        <f>147772060+2544128</f>
        <v>150316188</v>
      </c>
      <c r="I5" s="55"/>
    </row>
    <row r="6" spans="1:10">
      <c r="A6" s="8" t="s">
        <v>86</v>
      </c>
      <c r="B6" s="54">
        <v>40997452</v>
      </c>
      <c r="C6" s="54">
        <v>124922923</v>
      </c>
      <c r="D6" s="54">
        <v>131638623</v>
      </c>
      <c r="E6" s="54">
        <v>133578201</v>
      </c>
      <c r="F6" s="54">
        <v>139937564</v>
      </c>
      <c r="G6" s="95">
        <v>143670610</v>
      </c>
      <c r="H6" s="55">
        <f>H5+H7</f>
        <v>150357395</v>
      </c>
      <c r="I6" s="55"/>
    </row>
    <row r="7" spans="1:10" s="1" customFormat="1">
      <c r="A7" s="9" t="s">
        <v>59</v>
      </c>
      <c r="B7" s="63">
        <v>4121949</v>
      </c>
      <c r="C7" s="59">
        <v>-384131</v>
      </c>
      <c r="D7" s="59">
        <v>-3313111</v>
      </c>
      <c r="E7" s="59">
        <f>135615</f>
        <v>135615</v>
      </c>
      <c r="F7" s="59">
        <v>1864742</v>
      </c>
      <c r="G7" s="59">
        <v>0</v>
      </c>
      <c r="H7" s="57">
        <v>41207</v>
      </c>
      <c r="I7" s="57"/>
    </row>
    <row r="8" spans="1:10" s="1" customFormat="1">
      <c r="A8" s="9" t="s">
        <v>60</v>
      </c>
      <c r="B8" s="56">
        <v>27168533</v>
      </c>
      <c r="C8" s="56">
        <f>22639357+1302526</f>
        <v>23941883</v>
      </c>
      <c r="D8" s="56">
        <v>13958227</v>
      </c>
      <c r="E8" s="56">
        <v>12253507</v>
      </c>
      <c r="F8" s="56">
        <f>16520727-2801158</f>
        <v>13719569</v>
      </c>
      <c r="G8" s="57">
        <f>F8+G10</f>
        <v>13395668</v>
      </c>
      <c r="H8" s="78">
        <v>7220438</v>
      </c>
      <c r="I8" s="57"/>
    </row>
    <row r="9" spans="1:10">
      <c r="A9" s="9" t="s">
        <v>56</v>
      </c>
      <c r="B9" s="64">
        <v>239</v>
      </c>
      <c r="C9" s="64">
        <v>69</v>
      </c>
      <c r="D9" s="15">
        <v>38</v>
      </c>
      <c r="E9" s="15">
        <v>34</v>
      </c>
      <c r="F9" s="42">
        <v>37.6</v>
      </c>
      <c r="G9" s="77">
        <v>18</v>
      </c>
      <c r="H9" s="77">
        <v>19</v>
      </c>
      <c r="I9" s="28"/>
    </row>
    <row r="10" spans="1:10" s="2" customFormat="1">
      <c r="A10" s="10" t="s">
        <v>73</v>
      </c>
      <c r="B10" s="79"/>
      <c r="C10" s="79">
        <v>-3226651</v>
      </c>
      <c r="D10" s="79">
        <f>-6196227-3787429</f>
        <v>-9983656</v>
      </c>
      <c r="E10" s="79">
        <f>-1513087-191632</f>
        <v>-1704719</v>
      </c>
      <c r="F10" s="79">
        <f>1590684-124624</f>
        <v>1466060</v>
      </c>
      <c r="G10" s="79">
        <v>-323901</v>
      </c>
      <c r="H10" s="80">
        <v>-495919</v>
      </c>
      <c r="I10" s="80"/>
    </row>
    <row r="11" spans="1:10" s="2" customFormat="1">
      <c r="A11" s="10" t="s">
        <v>70</v>
      </c>
      <c r="B11" s="65">
        <v>63</v>
      </c>
      <c r="C11" s="65">
        <v>7</v>
      </c>
      <c r="D11" s="43">
        <v>-8</v>
      </c>
      <c r="E11" s="43">
        <v>-9</v>
      </c>
      <c r="F11" s="43">
        <v>-10.1</v>
      </c>
      <c r="G11" s="44"/>
      <c r="H11" s="29"/>
      <c r="I11" s="29"/>
    </row>
    <row r="12" spans="1:10" s="1" customFormat="1">
      <c r="A12" s="9" t="s">
        <v>61</v>
      </c>
      <c r="B12" s="67">
        <v>19591477</v>
      </c>
      <c r="C12" s="67">
        <f>20662132+625815</f>
        <v>21287947</v>
      </c>
      <c r="D12" s="14">
        <v>16781893</v>
      </c>
      <c r="E12" s="14">
        <f>19359560-3853571</f>
        <v>15505989</v>
      </c>
      <c r="F12" s="14">
        <f>20590211-3159172</f>
        <v>17431039</v>
      </c>
      <c r="G12" s="27">
        <v>0</v>
      </c>
      <c r="H12" s="27"/>
      <c r="I12" s="27"/>
    </row>
    <row r="13" spans="1:10">
      <c r="A13" s="9" t="s">
        <v>47</v>
      </c>
      <c r="B13" s="64">
        <v>172</v>
      </c>
      <c r="C13" s="64">
        <v>61</v>
      </c>
      <c r="D13" s="15">
        <v>45</v>
      </c>
      <c r="E13" s="42">
        <v>43</v>
      </c>
      <c r="F13" s="42">
        <v>44.7</v>
      </c>
      <c r="G13" s="28">
        <v>0</v>
      </c>
      <c r="H13" s="28"/>
      <c r="I13" s="28"/>
    </row>
    <row r="14" spans="1:10" s="2" customFormat="1">
      <c r="A14" s="10" t="s">
        <v>74</v>
      </c>
      <c r="B14" s="79"/>
      <c r="C14" s="79"/>
      <c r="D14" s="79">
        <f>-3371730-1134324</f>
        <v>-4506054</v>
      </c>
      <c r="E14" s="79">
        <f>2069158-3345062</f>
        <v>-1275904</v>
      </c>
      <c r="F14" s="79">
        <f>1230651+694398</f>
        <v>1925049</v>
      </c>
      <c r="G14" s="80"/>
      <c r="H14" s="81"/>
      <c r="I14" s="29"/>
    </row>
    <row r="15" spans="1:10" s="2" customFormat="1">
      <c r="A15" s="10" t="s">
        <v>99</v>
      </c>
      <c r="B15" s="79"/>
      <c r="C15" s="79">
        <v>20840046</v>
      </c>
      <c r="D15" s="79">
        <v>18247893</v>
      </c>
      <c r="E15" s="79">
        <v>11680026</v>
      </c>
      <c r="F15" s="79">
        <v>25036219</v>
      </c>
      <c r="G15" s="80"/>
      <c r="H15" s="81"/>
      <c r="I15" s="29"/>
    </row>
    <row r="16" spans="1:10" s="2" customFormat="1">
      <c r="A16" s="96" t="s">
        <v>100</v>
      </c>
      <c r="B16" s="97"/>
      <c r="C16" s="97"/>
      <c r="D16" s="97">
        <f>16505367+1849</f>
        <v>16507216</v>
      </c>
      <c r="E16" s="97">
        <f>16505367+1849</f>
        <v>16507216</v>
      </c>
      <c r="F16" s="97"/>
      <c r="G16" s="98"/>
      <c r="H16" s="99"/>
      <c r="I16" s="99"/>
    </row>
    <row r="17" spans="1:11" s="2" customFormat="1">
      <c r="A17" s="100" t="s">
        <v>46</v>
      </c>
      <c r="B17" s="101">
        <v>19598453</v>
      </c>
      <c r="C17" s="101">
        <v>100236066</v>
      </c>
      <c r="D17" s="101">
        <v>103051683</v>
      </c>
      <c r="E17" s="101">
        <v>111206583</v>
      </c>
      <c r="F17" s="101">
        <v>114204170</v>
      </c>
      <c r="G17" s="98"/>
      <c r="H17" s="99"/>
      <c r="I17" s="99"/>
    </row>
    <row r="18" spans="1:11">
      <c r="A18" s="12" t="s">
        <v>58</v>
      </c>
      <c r="B18" s="102">
        <v>5291961</v>
      </c>
      <c r="C18" s="102">
        <v>6846109</v>
      </c>
      <c r="D18" s="24">
        <v>6415731</v>
      </c>
      <c r="E18" s="24">
        <f>7097510</f>
        <v>7097510</v>
      </c>
      <c r="F18" s="24">
        <v>7695278</v>
      </c>
      <c r="G18" s="103">
        <v>12616057</v>
      </c>
      <c r="H18" s="103">
        <v>13627688</v>
      </c>
      <c r="I18" s="103"/>
    </row>
    <row r="19" spans="1:11">
      <c r="A19" s="12" t="s">
        <v>83</v>
      </c>
      <c r="B19" s="24">
        <v>830308</v>
      </c>
      <c r="C19" s="24">
        <v>838909</v>
      </c>
      <c r="D19" s="24">
        <f>35736+861277</f>
        <v>897013</v>
      </c>
      <c r="E19" s="24">
        <f>949197+49400</f>
        <v>998597</v>
      </c>
      <c r="F19" s="24">
        <f>49650+937910</f>
        <v>987560</v>
      </c>
      <c r="G19" s="103">
        <f>933965+2000</f>
        <v>935965</v>
      </c>
      <c r="H19" s="103">
        <f>831835+37000</f>
        <v>868835</v>
      </c>
      <c r="I19" s="103"/>
    </row>
    <row r="20" spans="1:11">
      <c r="A20" s="12" t="s">
        <v>88</v>
      </c>
      <c r="B20" s="25"/>
      <c r="C20" s="25"/>
      <c r="D20" s="25">
        <f t="shared" ref="D20:H20" si="1">(D19+D18)/D5</f>
        <v>5.6985893810421732E-2</v>
      </c>
      <c r="E20" s="25">
        <f t="shared" si="1"/>
        <v>6.054802145501554E-2</v>
      </c>
      <c r="F20" s="25">
        <f>(F19+F18)/F5</f>
        <v>6.1231994351347151E-2</v>
      </c>
      <c r="G20" s="104">
        <f t="shared" si="1"/>
        <v>8.8587970058203749E-2</v>
      </c>
      <c r="H20" s="104">
        <f t="shared" si="1"/>
        <v>9.644019844356351E-2</v>
      </c>
      <c r="I20" s="104"/>
    </row>
    <row r="21" spans="1:11" s="1" customFormat="1">
      <c r="A21" s="105" t="s">
        <v>89</v>
      </c>
      <c r="B21" s="106">
        <v>3467239</v>
      </c>
      <c r="C21" s="106">
        <v>726280</v>
      </c>
      <c r="D21" s="107">
        <v>-1523835</v>
      </c>
      <c r="E21" s="107">
        <v>2568172</v>
      </c>
      <c r="F21" s="107">
        <v>3621872</v>
      </c>
      <c r="G21" s="108">
        <v>3671781.39</v>
      </c>
      <c r="H21" s="109">
        <v>1733207</v>
      </c>
      <c r="I21" s="109"/>
    </row>
    <row r="22" spans="1:11">
      <c r="A22" s="12" t="s">
        <v>82</v>
      </c>
      <c r="B22" s="24">
        <v>22402239</v>
      </c>
      <c r="C22" s="24">
        <v>103454668</v>
      </c>
      <c r="D22" s="24">
        <v>106459290</v>
      </c>
      <c r="E22" s="24">
        <f>109326132+642999</f>
        <v>109969131</v>
      </c>
      <c r="F22" s="24">
        <f>813353+112839869</f>
        <v>113653222</v>
      </c>
      <c r="G22" s="110">
        <v>114848487</v>
      </c>
      <c r="H22" s="103">
        <f>117000989+878400</f>
        <v>117879389</v>
      </c>
      <c r="I22" s="103"/>
      <c r="J22" s="87">
        <f>H22-G22</f>
        <v>3030902</v>
      </c>
      <c r="K22" s="75">
        <f>759504/13017288</f>
        <v>5.8345793686058113E-2</v>
      </c>
    </row>
    <row r="23" spans="1:11">
      <c r="A23" s="12" t="s">
        <v>80</v>
      </c>
      <c r="B23" s="24">
        <v>3669041</v>
      </c>
      <c r="C23" s="24">
        <f>1648617+1046190+982340+805007</f>
        <v>4482154</v>
      </c>
      <c r="D23" s="24">
        <f>1848136+846758+1011359+779734</f>
        <v>4485987</v>
      </c>
      <c r="E23" s="24">
        <f>2579518+833644+1135715+391486</f>
        <v>4940363</v>
      </c>
      <c r="F23" s="24">
        <f>1699457+66039+972833+91519</f>
        <v>2829848</v>
      </c>
      <c r="G23" s="103">
        <f>3196600+304000+1129274+140475</f>
        <v>4770349</v>
      </c>
      <c r="H23" s="103">
        <v>6541148</v>
      </c>
      <c r="I23" s="103"/>
      <c r="K23" s="117">
        <f>759504/0.038</f>
        <v>19986947.368421052</v>
      </c>
    </row>
    <row r="24" spans="1:11">
      <c r="A24" s="12" t="s">
        <v>85</v>
      </c>
      <c r="B24" s="24">
        <v>595805</v>
      </c>
      <c r="C24" s="24">
        <v>700861</v>
      </c>
      <c r="D24" s="24">
        <v>771083</v>
      </c>
      <c r="E24" s="24">
        <v>1797558</v>
      </c>
      <c r="F24" s="24">
        <v>1463486</v>
      </c>
      <c r="G24" s="103">
        <v>2617831</v>
      </c>
      <c r="H24" s="103">
        <v>2898916</v>
      </c>
      <c r="I24" s="103"/>
    </row>
    <row r="25" spans="1:11">
      <c r="A25" s="12" t="s">
        <v>84</v>
      </c>
      <c r="B25" s="24"/>
      <c r="C25" s="24">
        <v>1811467</v>
      </c>
      <c r="D25" s="24">
        <v>2248362</v>
      </c>
      <c r="E25" s="24">
        <v>2265125</v>
      </c>
      <c r="F25" s="24">
        <f>2004446</f>
        <v>2004446</v>
      </c>
      <c r="G25" s="103">
        <v>0</v>
      </c>
      <c r="H25" s="103">
        <v>48000</v>
      </c>
      <c r="I25" s="103"/>
    </row>
    <row r="26" spans="1:11">
      <c r="A26" s="11" t="s">
        <v>79</v>
      </c>
      <c r="B26" s="66">
        <v>11106853</v>
      </c>
      <c r="C26" s="66">
        <v>11475024</v>
      </c>
      <c r="D26" s="58">
        <v>11031303</v>
      </c>
      <c r="E26" s="58">
        <v>4962413</v>
      </c>
      <c r="F26" s="58">
        <v>5338058</v>
      </c>
      <c r="G26" s="88">
        <v>4888546.1500000004</v>
      </c>
      <c r="H26" s="89">
        <v>4773254</v>
      </c>
      <c r="I26" s="58"/>
      <c r="J26" s="87">
        <f>G26*0.005</f>
        <v>24442.730750000002</v>
      </c>
      <c r="K26" s="87">
        <f>H26+H27-H23-H24-H25</f>
        <v>29533540</v>
      </c>
    </row>
    <row r="27" spans="1:11">
      <c r="A27" s="11" t="s">
        <v>36</v>
      </c>
      <c r="B27" s="58"/>
      <c r="C27" s="58">
        <v>15035126</v>
      </c>
      <c r="D27" s="58">
        <f>D6-D29-D26</f>
        <v>17249437</v>
      </c>
      <c r="E27" s="58">
        <v>28386994</v>
      </c>
      <c r="F27" s="58">
        <v>27503961</v>
      </c>
      <c r="G27" s="88">
        <f>138782064-G29</f>
        <v>28376136</v>
      </c>
      <c r="H27" s="89">
        <v>34248350</v>
      </c>
      <c r="I27" s="58"/>
      <c r="J27" s="87">
        <f>G27*0.005</f>
        <v>141880.68</v>
      </c>
    </row>
    <row r="28" spans="1:11">
      <c r="A28" s="11" t="s">
        <v>95</v>
      </c>
      <c r="B28" s="16"/>
      <c r="C28" s="16">
        <f>C27/C26</f>
        <v>1.310247891420532</v>
      </c>
      <c r="D28" s="16">
        <f>D27/D26</f>
        <v>1.5636808271878671</v>
      </c>
      <c r="E28" s="16">
        <f>E27/E26</f>
        <v>5.7204013450714397</v>
      </c>
      <c r="F28" s="16">
        <f t="shared" ref="F28:G28" si="2">F27/F26</f>
        <v>5.1524282800973689</v>
      </c>
      <c r="G28" s="90">
        <f t="shared" si="2"/>
        <v>5.8046165729661769</v>
      </c>
      <c r="H28" s="91">
        <f>(H27+H26-G26-G27)/(G27+G26)</f>
        <v>0.1730640871312219</v>
      </c>
      <c r="I28" s="30"/>
      <c r="J28" s="87">
        <f>J27+J26</f>
        <v>166323.41074999998</v>
      </c>
    </row>
    <row r="29" spans="1:11" s="1" customFormat="1">
      <c r="A29" s="50" t="s">
        <v>87</v>
      </c>
      <c r="B29" s="51">
        <v>89999916</v>
      </c>
      <c r="C29" s="51">
        <f>64043633+39067079</f>
        <v>103110712</v>
      </c>
      <c r="D29" s="51">
        <v>103357883</v>
      </c>
      <c r="E29" s="51">
        <f>105191206</f>
        <v>105191206</v>
      </c>
      <c r="F29" s="51">
        <v>107363319</v>
      </c>
      <c r="G29" s="92">
        <v>110405928</v>
      </c>
      <c r="H29" s="52">
        <v>113482503</v>
      </c>
      <c r="I29" s="52"/>
      <c r="J29" s="86">
        <v>-7.0000000000000001E-3</v>
      </c>
    </row>
    <row r="30" spans="1:11" s="123" customFormat="1">
      <c r="A30" s="121" t="s">
        <v>77</v>
      </c>
      <c r="B30" s="122"/>
      <c r="C30" s="122">
        <f>C29/C6</f>
        <v>0.82539464754599123</v>
      </c>
      <c r="D30" s="122">
        <v>0.84899999999999998</v>
      </c>
      <c r="E30" s="122">
        <v>0.78800000000000003</v>
      </c>
      <c r="F30" s="122">
        <f>F29/F5</f>
        <v>0.75713380147710718</v>
      </c>
      <c r="G30" s="122">
        <f>G29/G5</f>
        <v>0.72171053470192115</v>
      </c>
      <c r="H30" s="122">
        <f>H29/H6</f>
        <v>0.75475172338547103</v>
      </c>
      <c r="I30" s="122"/>
    </row>
    <row r="31" spans="1:11">
      <c r="A31" s="53" t="s">
        <v>68</v>
      </c>
      <c r="B31" s="69">
        <v>11163877</v>
      </c>
      <c r="C31" s="69">
        <v>61485971</v>
      </c>
      <c r="D31" s="69">
        <v>64043634</v>
      </c>
      <c r="E31" s="69">
        <v>64385238</v>
      </c>
      <c r="F31" s="69">
        <v>62561179</v>
      </c>
      <c r="G31" s="93">
        <v>64299403</v>
      </c>
      <c r="H31" s="94">
        <v>66444525</v>
      </c>
      <c r="I31" s="69"/>
    </row>
    <row r="32" spans="1:11">
      <c r="A32" s="53" t="s">
        <v>38</v>
      </c>
      <c r="B32" s="69">
        <v>3305304</v>
      </c>
      <c r="C32" s="69">
        <v>36377379</v>
      </c>
      <c r="D32" s="69">
        <v>39067079</v>
      </c>
      <c r="E32" s="69">
        <v>40805967</v>
      </c>
      <c r="F32" s="69">
        <f>11684137+30734842+819367+741+172683</f>
        <v>43411770</v>
      </c>
      <c r="G32" s="93">
        <v>44280687</v>
      </c>
      <c r="H32" s="94">
        <f>45471188+222693</f>
        <v>45693881</v>
      </c>
      <c r="I32" s="69"/>
    </row>
    <row r="33" spans="1:10">
      <c r="A33" s="53" t="s">
        <v>69</v>
      </c>
      <c r="B33" s="69"/>
      <c r="C33" s="69">
        <v>3236208</v>
      </c>
      <c r="D33" s="69">
        <v>3425593</v>
      </c>
      <c r="E33" s="69">
        <v>3486048</v>
      </c>
      <c r="F33" s="69">
        <v>3573947</v>
      </c>
      <c r="G33" s="93">
        <v>3493959</v>
      </c>
      <c r="H33" s="69"/>
      <c r="I33" s="69"/>
    </row>
    <row r="34" spans="1:10">
      <c r="A34" s="36" t="s">
        <v>29</v>
      </c>
      <c r="B34" s="73">
        <v>96265</v>
      </c>
      <c r="C34" s="73">
        <v>101550</v>
      </c>
      <c r="D34" s="73"/>
      <c r="E34" s="73"/>
      <c r="F34" s="73"/>
      <c r="G34" s="74"/>
      <c r="H34" s="73"/>
      <c r="I34" s="73"/>
    </row>
    <row r="35" spans="1:10">
      <c r="A35" s="36" t="s">
        <v>30</v>
      </c>
      <c r="B35" s="73">
        <v>60286</v>
      </c>
      <c r="C35" s="73">
        <v>60165</v>
      </c>
      <c r="D35" s="73"/>
      <c r="E35" s="73"/>
      <c r="F35" s="73"/>
      <c r="G35" s="74"/>
      <c r="H35" s="73"/>
      <c r="I35" s="73"/>
    </row>
    <row r="36" spans="1:10">
      <c r="A36" s="5" t="s">
        <v>55</v>
      </c>
      <c r="B36" s="17">
        <f>B37+B38-B40</f>
        <v>1346</v>
      </c>
      <c r="C36" s="17">
        <f>C37+C38+C39</f>
        <v>1410.3999999999999</v>
      </c>
      <c r="D36" s="17">
        <v>1410</v>
      </c>
      <c r="E36" s="17">
        <f>E37+E38+36+E39</f>
        <v>1409.8</v>
      </c>
      <c r="F36" s="17">
        <v>1449</v>
      </c>
      <c r="G36" s="111">
        <f>1409.5+G39</f>
        <v>1484.5</v>
      </c>
      <c r="H36" s="31">
        <f>H37+H38+H39</f>
        <v>1462</v>
      </c>
      <c r="I36" s="31"/>
    </row>
    <row r="37" spans="1:10">
      <c r="A37" s="6" t="s">
        <v>97</v>
      </c>
      <c r="B37" s="18">
        <v>959</v>
      </c>
      <c r="C37" s="18">
        <f>813.5+17.5</f>
        <v>831</v>
      </c>
      <c r="D37" s="18">
        <v>910</v>
      </c>
      <c r="E37" s="18">
        <v>836</v>
      </c>
      <c r="F37" s="18">
        <v>841</v>
      </c>
      <c r="G37" s="32">
        <v>845</v>
      </c>
      <c r="H37" s="32">
        <v>858</v>
      </c>
      <c r="I37" s="32"/>
    </row>
    <row r="38" spans="1:10">
      <c r="A38" s="6" t="s">
        <v>98</v>
      </c>
      <c r="B38" s="18">
        <v>687</v>
      </c>
      <c r="C38" s="18">
        <f>450.2+55.4</f>
        <v>505.59999999999997</v>
      </c>
      <c r="D38" s="18">
        <v>466</v>
      </c>
      <c r="E38" s="18">
        <v>466</v>
      </c>
      <c r="F38" s="18">
        <v>466</v>
      </c>
      <c r="G38" s="32">
        <v>507</v>
      </c>
      <c r="H38" s="32">
        <v>523</v>
      </c>
      <c r="I38" s="32"/>
    </row>
    <row r="39" spans="1:10">
      <c r="A39" s="6" t="s">
        <v>64</v>
      </c>
      <c r="B39" s="18"/>
      <c r="C39" s="18">
        <f>68.2+5.6</f>
        <v>73.8</v>
      </c>
      <c r="D39" s="18">
        <v>72.8</v>
      </c>
      <c r="E39" s="18">
        <v>71.8</v>
      </c>
      <c r="F39" s="18">
        <v>75.8</v>
      </c>
      <c r="G39" s="112">
        <v>75</v>
      </c>
      <c r="H39" s="32">
        <v>81</v>
      </c>
      <c r="I39" s="32"/>
    </row>
    <row r="40" spans="1:10">
      <c r="A40" s="5" t="s">
        <v>37</v>
      </c>
      <c r="B40" s="17">
        <v>300</v>
      </c>
      <c r="C40" s="17">
        <v>330</v>
      </c>
      <c r="D40" s="17">
        <v>340</v>
      </c>
      <c r="E40" s="17">
        <v>340</v>
      </c>
      <c r="F40" s="17">
        <v>320</v>
      </c>
      <c r="G40" s="111">
        <v>280</v>
      </c>
      <c r="H40" s="31">
        <v>360</v>
      </c>
      <c r="I40" s="31"/>
    </row>
    <row r="41" spans="1:10" s="85" customFormat="1">
      <c r="A41" s="82"/>
      <c r="B41" s="83"/>
      <c r="C41" s="83"/>
      <c r="D41" s="83"/>
      <c r="E41" s="83"/>
      <c r="F41" s="83"/>
      <c r="G41" s="84"/>
      <c r="H41" s="84"/>
      <c r="I41" s="84"/>
    </row>
    <row r="42" spans="1:10">
      <c r="A42" s="5" t="s">
        <v>102</v>
      </c>
      <c r="B42" s="31">
        <f>1360</f>
        <v>1360</v>
      </c>
      <c r="C42" s="31">
        <f>C43+C44+C45</f>
        <v>1331.9</v>
      </c>
      <c r="D42" s="17">
        <f>D43+D45</f>
        <v>1340.8</v>
      </c>
      <c r="E42" s="17">
        <v>1326.1</v>
      </c>
      <c r="F42" s="17">
        <v>1332.1</v>
      </c>
      <c r="G42" s="111">
        <f>1358.8</f>
        <v>1358.8</v>
      </c>
      <c r="H42" s="31">
        <v>1396</v>
      </c>
      <c r="I42" s="31"/>
      <c r="J42" s="113">
        <f>G42-F42</f>
        <v>26.700000000000045</v>
      </c>
    </row>
    <row r="43" spans="1:10" s="2" customFormat="1">
      <c r="A43" s="7" t="s">
        <v>103</v>
      </c>
      <c r="B43" s="19"/>
      <c r="C43" s="70">
        <f>813.5</f>
        <v>813.5</v>
      </c>
      <c r="D43" s="32">
        <f>1268</f>
        <v>1268</v>
      </c>
      <c r="E43" s="19">
        <v>1260.8</v>
      </c>
      <c r="F43" s="19">
        <v>1259.3</v>
      </c>
      <c r="G43" s="32">
        <v>846</v>
      </c>
      <c r="H43" s="32">
        <f>714+2</f>
        <v>716</v>
      </c>
      <c r="I43" s="32"/>
    </row>
    <row r="44" spans="1:10" s="2" customFormat="1">
      <c r="A44" s="7" t="s">
        <v>104</v>
      </c>
      <c r="B44" s="19"/>
      <c r="C44" s="70">
        <v>450.2</v>
      </c>
      <c r="D44" s="32">
        <v>450.2</v>
      </c>
      <c r="E44" s="19"/>
      <c r="F44" s="19"/>
      <c r="G44" s="32">
        <v>507</v>
      </c>
      <c r="H44" s="32">
        <f>470+17</f>
        <v>487</v>
      </c>
      <c r="I44" s="32"/>
    </row>
    <row r="45" spans="1:10" s="2" customFormat="1">
      <c r="A45" s="7" t="s">
        <v>57</v>
      </c>
      <c r="B45" s="19"/>
      <c r="C45" s="70">
        <v>68.2</v>
      </c>
      <c r="D45" s="32">
        <v>72.8</v>
      </c>
      <c r="E45" s="19">
        <v>65.3</v>
      </c>
      <c r="F45" s="19">
        <v>72.8</v>
      </c>
      <c r="G45" s="112">
        <v>73.8</v>
      </c>
      <c r="H45" s="32">
        <v>193</v>
      </c>
      <c r="I45" s="32"/>
    </row>
    <row r="46" spans="1:10" s="1" customFormat="1">
      <c r="A46" s="5" t="s">
        <v>94</v>
      </c>
      <c r="B46" s="71">
        <v>242</v>
      </c>
      <c r="C46" s="72">
        <f>614-C44</f>
        <v>163.80000000000001</v>
      </c>
      <c r="D46" s="20">
        <f>E46-20</f>
        <v>293.7</v>
      </c>
      <c r="E46" s="20">
        <v>313.7</v>
      </c>
      <c r="F46" s="20">
        <v>289.3</v>
      </c>
      <c r="G46" s="111">
        <v>298.7</v>
      </c>
      <c r="H46" s="31">
        <v>360</v>
      </c>
      <c r="I46" s="31"/>
      <c r="J46" s="114">
        <f>G46-F46</f>
        <v>9.3999999999999773</v>
      </c>
    </row>
    <row r="47" spans="1:10">
      <c r="A47" s="6" t="s">
        <v>78</v>
      </c>
      <c r="B47" s="21">
        <f>5277808+6511170</f>
        <v>11788978</v>
      </c>
      <c r="C47" s="21">
        <f>7058646+9360815</f>
        <v>16419461</v>
      </c>
      <c r="D47" s="21">
        <v>18083204</v>
      </c>
      <c r="E47" s="21">
        <f>D47+6294226</f>
        <v>24377430</v>
      </c>
      <c r="F47" s="21"/>
      <c r="G47" s="33"/>
      <c r="H47" s="33"/>
      <c r="I47" s="33"/>
    </row>
    <row r="48" spans="1:10">
      <c r="A48" s="6" t="s">
        <v>93</v>
      </c>
      <c r="B48" s="45">
        <f t="shared" ref="B48:H48" si="3">B46/B51</f>
        <v>0.15106117353308365</v>
      </c>
      <c r="C48" s="45">
        <f t="shared" si="3"/>
        <v>0.10951393996122218</v>
      </c>
      <c r="D48" s="45">
        <f>D46/D51</f>
        <v>0.17968797797491587</v>
      </c>
      <c r="E48" s="45">
        <f t="shared" si="3"/>
        <v>0.19130381753872425</v>
      </c>
      <c r="F48" s="45">
        <f t="shared" si="3"/>
        <v>0.17842605156037991</v>
      </c>
      <c r="G48" s="45">
        <f t="shared" si="3"/>
        <v>0.18021116138763196</v>
      </c>
      <c r="H48" s="45">
        <f t="shared" si="3"/>
        <v>0.20501138952164008</v>
      </c>
      <c r="I48" s="45" t="e">
        <f t="shared" ref="I48" si="4">I46/I51</f>
        <v>#DIV/0!</v>
      </c>
    </row>
    <row r="49" spans="1:10" ht="15">
      <c r="A49" s="6" t="s">
        <v>92</v>
      </c>
      <c r="B49" s="115">
        <f t="shared" ref="B49:H49" si="5">B3/B51</f>
        <v>11.55056179775281</v>
      </c>
      <c r="C49" s="115">
        <f t="shared" si="5"/>
        <v>12.378150698669518</v>
      </c>
      <c r="D49" s="115">
        <f t="shared" si="5"/>
        <v>11.679412664423371</v>
      </c>
      <c r="E49" s="115">
        <f t="shared" si="5"/>
        <v>11.658129040126845</v>
      </c>
      <c r="F49" s="115">
        <f t="shared" si="5"/>
        <v>12.040828913284814</v>
      </c>
      <c r="G49" s="115">
        <f t="shared" si="5"/>
        <v>14.019909502262443</v>
      </c>
      <c r="H49" s="115">
        <f t="shared" si="5"/>
        <v>12.034168564920273</v>
      </c>
      <c r="I49" s="33"/>
    </row>
    <row r="50" spans="1:10">
      <c r="A50" s="5" t="s">
        <v>48</v>
      </c>
      <c r="B50" s="20">
        <f t="shared" ref="B50:C50" si="6">B40+B36</f>
        <v>1646</v>
      </c>
      <c r="C50" s="20">
        <f t="shared" si="6"/>
        <v>1740.3999999999999</v>
      </c>
      <c r="D50" s="20">
        <f>D40+D36</f>
        <v>1750</v>
      </c>
      <c r="E50" s="20">
        <v>1752</v>
      </c>
      <c r="F50" s="20">
        <v>1774</v>
      </c>
      <c r="G50" s="111">
        <f>G36+280</f>
        <v>1764.5</v>
      </c>
      <c r="H50" s="31">
        <f>H40+H36</f>
        <v>1822</v>
      </c>
      <c r="I50" s="31"/>
    </row>
    <row r="51" spans="1:10">
      <c r="A51" s="5" t="s">
        <v>54</v>
      </c>
      <c r="B51" s="20">
        <f t="shared" ref="B51:C51" si="7">B42+B46</f>
        <v>1602</v>
      </c>
      <c r="C51" s="20">
        <f t="shared" si="7"/>
        <v>1495.7</v>
      </c>
      <c r="D51" s="20">
        <f>D42+D46</f>
        <v>1634.5</v>
      </c>
      <c r="E51" s="20">
        <v>1639.8</v>
      </c>
      <c r="F51" s="20">
        <v>1621.4</v>
      </c>
      <c r="G51" s="111">
        <f>G42+G46</f>
        <v>1657.5</v>
      </c>
      <c r="H51" s="31">
        <f>H42+H46</f>
        <v>1756</v>
      </c>
      <c r="I51" s="31"/>
      <c r="J51" s="113">
        <f>G51-F51</f>
        <v>36.099999999999909</v>
      </c>
    </row>
    <row r="52" spans="1:10">
      <c r="A52" s="5" t="s">
        <v>101</v>
      </c>
      <c r="B52" s="20">
        <f t="shared" ref="B52:D52" si="8">B51-B50</f>
        <v>-44</v>
      </c>
      <c r="C52" s="20">
        <f t="shared" si="8"/>
        <v>-244.69999999999982</v>
      </c>
      <c r="D52" s="20">
        <f t="shared" si="8"/>
        <v>-115.5</v>
      </c>
      <c r="E52" s="20">
        <f>E51-E50</f>
        <v>-112.20000000000005</v>
      </c>
      <c r="F52" s="20">
        <f>F51-F50</f>
        <v>-152.59999999999991</v>
      </c>
      <c r="G52" s="20">
        <f>G51-G50</f>
        <v>-107</v>
      </c>
      <c r="H52" s="20">
        <f>H51-H50</f>
        <v>-66</v>
      </c>
      <c r="I52" s="31"/>
    </row>
    <row r="53" spans="1:10">
      <c r="A53" s="12" t="s">
        <v>81</v>
      </c>
      <c r="B53" s="24"/>
      <c r="C53" s="24">
        <v>350000</v>
      </c>
      <c r="D53" s="24">
        <f>E53/1.16</f>
        <v>755916.37931034493</v>
      </c>
      <c r="E53" s="24">
        <v>876863</v>
      </c>
      <c r="F53" s="24"/>
      <c r="G53" s="24">
        <v>0</v>
      </c>
      <c r="H53" s="24"/>
      <c r="I53" s="24"/>
    </row>
    <row r="54" spans="1:10" s="4" customFormat="1" ht="12" customHeight="1">
      <c r="A54" s="13" t="s">
        <v>52</v>
      </c>
      <c r="B54" s="22"/>
      <c r="C54" s="22"/>
      <c r="D54" s="22"/>
      <c r="E54" s="22">
        <v>-311</v>
      </c>
      <c r="F54" s="22">
        <v>-384</v>
      </c>
      <c r="G54" s="34"/>
      <c r="H54" s="34"/>
      <c r="I54" s="34"/>
    </row>
    <row r="55" spans="1:10" s="4" customFormat="1" ht="12" customHeight="1">
      <c r="A55" s="13" t="s">
        <v>75</v>
      </c>
      <c r="B55" s="38"/>
      <c r="C55" s="38"/>
      <c r="D55" s="38"/>
      <c r="E55" s="38">
        <v>-5076413</v>
      </c>
      <c r="F55" s="38">
        <f>-7885802</f>
        <v>-7885802</v>
      </c>
      <c r="G55" s="39"/>
      <c r="H55" s="39"/>
      <c r="I55" s="39"/>
    </row>
    <row r="56" spans="1:10" ht="12" customHeight="1">
      <c r="A56" s="13" t="s">
        <v>76</v>
      </c>
      <c r="B56" s="23"/>
      <c r="C56" s="23"/>
      <c r="D56" s="23"/>
      <c r="E56" s="26" t="s">
        <v>51</v>
      </c>
      <c r="F56" s="23">
        <v>35</v>
      </c>
      <c r="G56" s="35">
        <v>35</v>
      </c>
      <c r="H56" s="35">
        <v>35</v>
      </c>
      <c r="I56" s="35">
        <v>20</v>
      </c>
    </row>
    <row r="57" spans="1:10">
      <c r="A57" s="13" t="s">
        <v>66</v>
      </c>
      <c r="B57" s="125"/>
      <c r="C57" s="125">
        <f>C3/C43</f>
        <v>22.758451137062078</v>
      </c>
      <c r="D57" s="125">
        <f t="shared" ref="D57:G57" si="9">D3/D43</f>
        <v>15.055205047318612</v>
      </c>
      <c r="E57" s="125">
        <f t="shared" si="9"/>
        <v>15.162595177664976</v>
      </c>
      <c r="F57" s="125">
        <f t="shared" si="9"/>
        <v>15.503057254030017</v>
      </c>
      <c r="G57" s="125">
        <f t="shared" si="9"/>
        <v>27.468085106382979</v>
      </c>
      <c r="H57" s="125">
        <f>H3/H43</f>
        <v>29.513966480446928</v>
      </c>
    </row>
    <row r="58" spans="1:10">
      <c r="A58" s="124" t="s">
        <v>65</v>
      </c>
      <c r="B58" s="125">
        <f>B3/B51</f>
        <v>11.55056179775281</v>
      </c>
      <c r="C58" s="125">
        <f>C3/C51</f>
        <v>12.378150698669518</v>
      </c>
      <c r="D58" s="125">
        <f t="shared" ref="D58:H58" si="10">D3/D51</f>
        <v>11.679412664423371</v>
      </c>
      <c r="E58" s="125">
        <f t="shared" si="10"/>
        <v>11.658129040126845</v>
      </c>
      <c r="F58" s="125">
        <f t="shared" si="10"/>
        <v>12.040828913284814</v>
      </c>
      <c r="G58" s="125">
        <f t="shared" si="10"/>
        <v>14.019909502262443</v>
      </c>
      <c r="H58" s="125">
        <f t="shared" si="10"/>
        <v>12.034168564920273</v>
      </c>
    </row>
  </sheetData>
  <phoneticPr fontId="22" type="noConversion"/>
  <printOptions horizontalCentered="1" verticalCentered="1"/>
  <pageMargins left="0.39000000000000007" right="0.39000000000000007" top="0.6100000000000001" bottom="0.6100000000000001" header="0.5" footer="0.5"/>
  <pageSetup paperSize="10" scale="74" orientation="landscape" horizontalDpi="4294967292" verticalDpi="4294967292"/>
  <headerFooter>
    <oddHeader>&amp;Lsuivi budgétaire 2009-2015, Comptes de l'Université d'Angers, Université généraliste avec Médecine passée aux RCE en 2009&amp;RUniversité d'Angers</oddHeader>
    <oddFooter>&amp;LHervé Christofol, élu au CA&amp;RSnesup-FSU</oddFoot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33"/>
  <sheetViews>
    <sheetView view="pageLayout" workbookViewId="0">
      <selection activeCell="M1" sqref="M1"/>
    </sheetView>
  </sheetViews>
  <sheetFormatPr baseColWidth="10" defaultRowHeight="12"/>
  <cols>
    <col min="1" max="1" width="16.33203125" customWidth="1"/>
    <col min="2" max="2" width="11.5" bestFit="1" customWidth="1"/>
    <col min="3" max="6" width="13" bestFit="1" customWidth="1"/>
    <col min="7" max="7" width="12" bestFit="1" customWidth="1"/>
    <col min="8" max="8" width="11.83203125" bestFit="1" customWidth="1"/>
    <col min="9" max="9" width="13.6640625" bestFit="1" customWidth="1"/>
    <col min="11" max="11" width="16.1640625" bestFit="1" customWidth="1"/>
    <col min="12" max="12" width="15.1640625" bestFit="1" customWidth="1"/>
    <col min="13" max="14" width="13" bestFit="1" customWidth="1"/>
  </cols>
  <sheetData>
    <row r="1" spans="1:14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20">
        <f>M3/0.038</f>
        <v>-1791753078.9473684</v>
      </c>
    </row>
    <row r="2" spans="1:14" ht="319">
      <c r="B2" s="118" t="s">
        <v>10</v>
      </c>
      <c r="C2" s="118" t="s">
        <v>11</v>
      </c>
      <c r="D2" s="118" t="s">
        <v>12</v>
      </c>
      <c r="E2" s="118" t="s">
        <v>13</v>
      </c>
      <c r="F2" s="118" t="s">
        <v>14</v>
      </c>
      <c r="G2" s="118" t="s">
        <v>15</v>
      </c>
      <c r="H2" s="118" t="s">
        <v>16</v>
      </c>
      <c r="I2" s="118" t="s">
        <v>17</v>
      </c>
      <c r="J2" s="118"/>
      <c r="K2" s="118" t="s">
        <v>18</v>
      </c>
      <c r="L2" s="118" t="s">
        <v>19</v>
      </c>
      <c r="M2" s="118" t="s">
        <v>20</v>
      </c>
      <c r="N2" t="s">
        <v>21</v>
      </c>
    </row>
    <row r="3" spans="1:14">
      <c r="A3" t="s">
        <v>9</v>
      </c>
      <c r="B3" s="119">
        <v>584634</v>
      </c>
      <c r="C3" s="119">
        <v>47028683</v>
      </c>
      <c r="D3" s="119">
        <v>13601356</v>
      </c>
      <c r="E3" s="119">
        <v>13403507</v>
      </c>
      <c r="F3" s="119">
        <v>31499022</v>
      </c>
      <c r="G3" s="119">
        <v>5771761</v>
      </c>
      <c r="H3" s="119">
        <v>3011072</v>
      </c>
      <c r="I3" s="119">
        <v>114900035</v>
      </c>
      <c r="J3" s="119"/>
      <c r="K3" s="119">
        <v>10429185806</v>
      </c>
      <c r="L3" s="119">
        <v>1408074882</v>
      </c>
      <c r="M3" s="119">
        <v>-68086617</v>
      </c>
      <c r="N3" s="119">
        <v>-96661093</v>
      </c>
    </row>
    <row r="4" spans="1:14">
      <c r="A4" t="s">
        <v>62</v>
      </c>
    </row>
    <row r="5" spans="1:14">
      <c r="A5" t="s">
        <v>63</v>
      </c>
    </row>
    <row r="6" spans="1:14">
      <c r="A6" t="s">
        <v>2</v>
      </c>
    </row>
    <row r="7" spans="1:14">
      <c r="A7" t="s">
        <v>3</v>
      </c>
    </row>
    <row r="8" spans="1:14">
      <c r="A8" t="s">
        <v>8</v>
      </c>
      <c r="B8" s="119">
        <v>-37247</v>
      </c>
      <c r="C8" s="119">
        <v>2015160</v>
      </c>
      <c r="D8" s="119">
        <v>150738</v>
      </c>
      <c r="E8" s="119">
        <v>105828</v>
      </c>
      <c r="F8" s="119">
        <v>426798</v>
      </c>
      <c r="G8" s="119">
        <v>254925</v>
      </c>
      <c r="H8" s="119">
        <v>0</v>
      </c>
      <c r="I8" s="119">
        <v>2916202</v>
      </c>
      <c r="J8" s="119"/>
      <c r="K8" s="119">
        <v>103412947</v>
      </c>
      <c r="L8" s="119">
        <v>13017288</v>
      </c>
      <c r="M8" s="119">
        <v>-759504</v>
      </c>
      <c r="N8" s="119">
        <v>0</v>
      </c>
    </row>
    <row r="9" spans="1:14">
      <c r="A9" t="s">
        <v>67</v>
      </c>
    </row>
    <row r="10" spans="1:14">
      <c r="A10" t="s">
        <v>6</v>
      </c>
    </row>
    <row r="11" spans="1:14">
      <c r="A11" t="s">
        <v>7</v>
      </c>
    </row>
    <row r="12" spans="1:14">
      <c r="A12" t="s">
        <v>71</v>
      </c>
    </row>
    <row r="13" spans="1:14">
      <c r="A13" t="s">
        <v>72</v>
      </c>
    </row>
    <row r="14" spans="1:14">
      <c r="A14" t="s">
        <v>22</v>
      </c>
    </row>
    <row r="15" spans="1:14">
      <c r="A15" t="s">
        <v>23</v>
      </c>
    </row>
    <row r="16" spans="1:14">
      <c r="A16" t="s">
        <v>24</v>
      </c>
    </row>
    <row r="17" spans="1:1">
      <c r="A17" t="s">
        <v>25</v>
      </c>
    </row>
    <row r="18" spans="1:1">
      <c r="A18" t="s">
        <v>26</v>
      </c>
    </row>
    <row r="19" spans="1:1">
      <c r="A19" t="s">
        <v>27</v>
      </c>
    </row>
    <row r="20" spans="1:1">
      <c r="A20" t="s">
        <v>28</v>
      </c>
    </row>
    <row r="21" spans="1:1">
      <c r="A21" t="s">
        <v>0</v>
      </c>
    </row>
    <row r="22" spans="1:1">
      <c r="A22" t="s">
        <v>1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4</v>
      </c>
    </row>
    <row r="27" spans="1:1">
      <c r="A27" t="s">
        <v>5</v>
      </c>
    </row>
    <row r="28" spans="1:1">
      <c r="A28" t="s">
        <v>40</v>
      </c>
    </row>
    <row r="29" spans="1:1">
      <c r="A29" t="s">
        <v>41</v>
      </c>
    </row>
    <row r="30" spans="1:1">
      <c r="A30" t="s">
        <v>42</v>
      </c>
    </row>
    <row r="31" spans="1:1">
      <c r="A31" t="s">
        <v>43</v>
      </c>
    </row>
    <row r="32" spans="1:1">
      <c r="A32" t="s">
        <v>44</v>
      </c>
    </row>
    <row r="33" spans="1:1">
      <c r="A33" t="s">
        <v>45</v>
      </c>
    </row>
  </sheetData>
  <sheetCalcPr fullCalcOnLoad="1"/>
  <phoneticPr fontId="22" type="noConversion"/>
  <pageMargins left="0.75000000000000011" right="0.75000000000000011" top="1" bottom="1" header="0.5" footer="0.5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Angers</vt:lpstr>
      <vt:lpstr>France en 2015</vt:lpstr>
    </vt:vector>
  </TitlesOfParts>
  <Company>ISTIA INNOVATION - Université d'Angers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CHRISTOFOL</dc:creator>
  <cp:lastModifiedBy>Hervé CHRISTOFOL</cp:lastModifiedBy>
  <cp:lastPrinted>2014-11-18T09:37:44Z</cp:lastPrinted>
  <dcterms:created xsi:type="dcterms:W3CDTF">2014-11-10T16:24:50Z</dcterms:created>
  <dcterms:modified xsi:type="dcterms:W3CDTF">2016-11-08T17:19:33Z</dcterms:modified>
</cp:coreProperties>
</file>