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 activeTab="1"/>
  </bookViews>
  <sheets>
    <sheet name="Mode-emploi" sheetId="1" r:id="rId1"/>
    <sheet name="Saisie" sheetId="2" r:id="rId2"/>
  </sheets>
  <definedNames>
    <definedName name="Bool">Saisie!$N$151:$N$152</definedName>
    <definedName name="Classe">Saisie!$Q$151:$Q$156</definedName>
    <definedName name="Classe1">Saisie!$Q$151:$Q$160</definedName>
    <definedName name="Corps">Saisie!$E$156:$E$159</definedName>
    <definedName name="Corps1">Saisie!$E$151:$E$175</definedName>
    <definedName name="Corps2">Saisie!$E$151:$E$177</definedName>
    <definedName name="Corps3">Saisie!$E$151:$E$182</definedName>
    <definedName name="Départ">Saisie!$G$151:$G$158</definedName>
    <definedName name="Echelons">Saisie!$H$151:$H$180</definedName>
    <definedName name="Jour">Saisie!$A$151:$A$181</definedName>
    <definedName name="Mois">Saisie!$B$151:$B$162</definedName>
    <definedName name="Sexe">Saisie!$S$151:$S$152</definedName>
  </definedNames>
  <calcPr calcId="125725"/>
</workbook>
</file>

<file path=xl/calcChain.xml><?xml version="1.0" encoding="utf-8"?>
<calcChain xmlns="http://schemas.openxmlformats.org/spreadsheetml/2006/main">
  <c r="K206" i="2"/>
  <c r="E243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A243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16"/>
  <c r="B97"/>
  <c r="F190"/>
  <c r="G190"/>
  <c r="H190"/>
  <c r="I190"/>
  <c r="J190"/>
  <c r="K190"/>
  <c r="F191"/>
  <c r="G191"/>
  <c r="H191"/>
  <c r="I191"/>
  <c r="J191"/>
  <c r="K191"/>
  <c r="F192"/>
  <c r="G192"/>
  <c r="H192"/>
  <c r="I192"/>
  <c r="J192"/>
  <c r="K192"/>
  <c r="F193"/>
  <c r="G193"/>
  <c r="H193"/>
  <c r="I193"/>
  <c r="J193"/>
  <c r="K193"/>
  <c r="F194"/>
  <c r="I194"/>
  <c r="J194"/>
  <c r="K194"/>
  <c r="F195"/>
  <c r="G195"/>
  <c r="H195"/>
  <c r="I195"/>
  <c r="J195"/>
  <c r="K195"/>
  <c r="F198"/>
  <c r="G198"/>
  <c r="H198"/>
  <c r="I198"/>
  <c r="J198"/>
  <c r="K198"/>
  <c r="F199"/>
  <c r="G199"/>
  <c r="H199"/>
  <c r="I199"/>
  <c r="J199"/>
  <c r="K199"/>
  <c r="F200"/>
  <c r="G200"/>
  <c r="H200"/>
  <c r="I200"/>
  <c r="J200"/>
  <c r="K200"/>
  <c r="F201"/>
  <c r="F203" s="1"/>
  <c r="G201"/>
  <c r="G203" s="1"/>
  <c r="H201"/>
  <c r="H203" s="1"/>
  <c r="I201"/>
  <c r="J201"/>
  <c r="J203" s="1"/>
  <c r="K201"/>
  <c r="K203" s="1"/>
  <c r="F202"/>
  <c r="G202"/>
  <c r="H202"/>
  <c r="I202"/>
  <c r="J202"/>
  <c r="K202"/>
  <c r="I203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D230"/>
  <c r="B231"/>
  <c r="C231"/>
  <c r="B232"/>
  <c r="C232"/>
  <c r="B233"/>
  <c r="C233"/>
  <c r="B234"/>
  <c r="C234"/>
  <c r="D234" s="1"/>
  <c r="B235"/>
  <c r="C235"/>
  <c r="B236"/>
  <c r="C236"/>
  <c r="B237"/>
  <c r="C237"/>
  <c r="B238"/>
  <c r="C238"/>
  <c r="D238" s="1"/>
  <c r="B239"/>
  <c r="C239"/>
  <c r="B240"/>
  <c r="C240"/>
  <c r="B243"/>
  <c r="C243"/>
  <c r="H245"/>
  <c r="L245"/>
  <c r="H246"/>
  <c r="A247"/>
  <c r="A248"/>
  <c r="A249"/>
  <c r="A250"/>
  <c r="A251"/>
  <c r="A252"/>
  <c r="A253"/>
  <c r="A254"/>
  <c r="C253" s="1"/>
  <c r="D253" s="1"/>
  <c r="E253" s="1"/>
  <c r="F222" s="1"/>
  <c r="K254"/>
  <c r="A255"/>
  <c r="C254" s="1"/>
  <c r="D254" s="1"/>
  <c r="E254" s="1"/>
  <c r="F223" s="1"/>
  <c r="A256"/>
  <c r="A257"/>
  <c r="A258"/>
  <c r="A259"/>
  <c r="A260"/>
  <c r="A261"/>
  <c r="I261"/>
  <c r="A262"/>
  <c r="A263"/>
  <c r="A264"/>
  <c r="A265"/>
  <c r="A266"/>
  <c r="M266"/>
  <c r="A267"/>
  <c r="C266" s="1"/>
  <c r="D266" s="1"/>
  <c r="E266" s="1"/>
  <c r="F235" s="1"/>
  <c r="A268"/>
  <c r="A269"/>
  <c r="M269"/>
  <c r="A270"/>
  <c r="C269" s="1"/>
  <c r="D269" s="1"/>
  <c r="E269" s="1"/>
  <c r="F238" s="1"/>
  <c r="A271"/>
  <c r="V318"/>
  <c r="L319"/>
  <c r="M319"/>
  <c r="V319"/>
  <c r="L320"/>
  <c r="M320"/>
  <c r="V320"/>
  <c r="L321"/>
  <c r="M321"/>
  <c r="V321"/>
  <c r="L322"/>
  <c r="M322"/>
  <c r="V322"/>
  <c r="L323"/>
  <c r="M323"/>
  <c r="V323"/>
  <c r="L324"/>
  <c r="M324"/>
  <c r="V324"/>
  <c r="L325"/>
  <c r="M325"/>
  <c r="V325"/>
  <c r="L326"/>
  <c r="M326"/>
  <c r="V326"/>
  <c r="L327"/>
  <c r="M327"/>
  <c r="V327"/>
  <c r="L328"/>
  <c r="M328"/>
  <c r="V328"/>
  <c r="L329"/>
  <c r="M329"/>
  <c r="R329"/>
  <c r="V329"/>
  <c r="L330"/>
  <c r="M330"/>
  <c r="V330"/>
  <c r="L331"/>
  <c r="M331"/>
  <c r="V331"/>
  <c r="L332"/>
  <c r="M332"/>
  <c r="V332"/>
  <c r="L333"/>
  <c r="M333"/>
  <c r="V333"/>
  <c r="L334"/>
  <c r="M334"/>
  <c r="V334"/>
  <c r="L335"/>
  <c r="M335"/>
  <c r="V335"/>
  <c r="L336"/>
  <c r="M336"/>
  <c r="V336"/>
  <c r="L337"/>
  <c r="M337"/>
  <c r="V337"/>
  <c r="L338"/>
  <c r="M338"/>
  <c r="V338"/>
  <c r="L339"/>
  <c r="M339"/>
  <c r="V339"/>
  <c r="L340"/>
  <c r="M340"/>
  <c r="V340"/>
  <c r="L341"/>
  <c r="M341"/>
  <c r="V341"/>
  <c r="L342"/>
  <c r="M342"/>
  <c r="V342"/>
  <c r="L343"/>
  <c r="M343"/>
  <c r="V343"/>
  <c r="V344" s="1"/>
  <c r="L344"/>
  <c r="M344"/>
  <c r="L345"/>
  <c r="M345"/>
  <c r="S345"/>
  <c r="L346"/>
  <c r="M346"/>
  <c r="L347"/>
  <c r="M347"/>
  <c r="L348"/>
  <c r="M348"/>
  <c r="L349"/>
  <c r="M349"/>
  <c r="L350"/>
  <c r="M350"/>
  <c r="L351"/>
  <c r="M351"/>
  <c r="L352"/>
  <c r="M352"/>
  <c r="S352"/>
  <c r="S353" s="1"/>
  <c r="J101" s="1"/>
  <c r="L353"/>
  <c r="M353"/>
  <c r="L354"/>
  <c r="M354"/>
  <c r="L355"/>
  <c r="M355"/>
  <c r="L356"/>
  <c r="M356"/>
  <c r="L357"/>
  <c r="M357"/>
  <c r="L358"/>
  <c r="M358"/>
  <c r="L359"/>
  <c r="M359"/>
  <c r="L360"/>
  <c r="M360"/>
  <c r="L361"/>
  <c r="M361"/>
  <c r="L362"/>
  <c r="M362"/>
  <c r="L363"/>
  <c r="M363"/>
  <c r="L364"/>
  <c r="M364"/>
  <c r="L365"/>
  <c r="M365"/>
  <c r="L366"/>
  <c r="M366"/>
  <c r="L367"/>
  <c r="M367"/>
  <c r="L368"/>
  <c r="M368"/>
  <c r="L369"/>
  <c r="M369"/>
  <c r="L370"/>
  <c r="M370"/>
  <c r="L371"/>
  <c r="M371"/>
  <c r="L372"/>
  <c r="M372"/>
  <c r="L373"/>
  <c r="M373"/>
  <c r="L374"/>
  <c r="M374"/>
  <c r="L375"/>
  <c r="M375"/>
  <c r="L376"/>
  <c r="M376"/>
  <c r="L377"/>
  <c r="M377"/>
  <c r="L378"/>
  <c r="M378"/>
  <c r="L379"/>
  <c r="M379"/>
  <c r="L380"/>
  <c r="M380"/>
  <c r="L381"/>
  <c r="M381"/>
  <c r="L382"/>
  <c r="M382"/>
  <c r="L383"/>
  <c r="M383"/>
  <c r="L384"/>
  <c r="M384"/>
  <c r="L385"/>
  <c r="M385"/>
  <c r="L386"/>
  <c r="M386"/>
  <c r="L387"/>
  <c r="M387"/>
  <c r="L388"/>
  <c r="M388"/>
  <c r="L389"/>
  <c r="M389"/>
  <c r="L390"/>
  <c r="M390"/>
  <c r="L391"/>
  <c r="M391"/>
  <c r="L392"/>
  <c r="M392"/>
  <c r="L393"/>
  <c r="M393"/>
  <c r="L394"/>
  <c r="M394"/>
  <c r="L395"/>
  <c r="M395"/>
  <c r="L396"/>
  <c r="M396"/>
  <c r="D218" l="1"/>
  <c r="E218" s="1"/>
  <c r="D222"/>
  <c r="H222" s="1"/>
  <c r="I222" s="1"/>
  <c r="L202"/>
  <c r="D240"/>
  <c r="H240" s="1"/>
  <c r="I240" s="1"/>
  <c r="D236"/>
  <c r="D232"/>
  <c r="G232" s="1"/>
  <c r="D224"/>
  <c r="D220"/>
  <c r="C270"/>
  <c r="D270" s="1"/>
  <c r="E270" s="1"/>
  <c r="F239" s="1"/>
  <c r="C267"/>
  <c r="D267" s="1"/>
  <c r="E267" s="1"/>
  <c r="F236" s="1"/>
  <c r="C264"/>
  <c r="D264" s="1"/>
  <c r="E264" s="1"/>
  <c r="F233" s="1"/>
  <c r="C262"/>
  <c r="D262" s="1"/>
  <c r="E262" s="1"/>
  <c r="F231" s="1"/>
  <c r="C251"/>
  <c r="D251" s="1"/>
  <c r="E251" s="1"/>
  <c r="F220" s="1"/>
  <c r="C250"/>
  <c r="D250" s="1"/>
  <c r="E250" s="1"/>
  <c r="F219" s="1"/>
  <c r="D226"/>
  <c r="N352"/>
  <c r="O352" s="1"/>
  <c r="N334"/>
  <c r="O334" s="1"/>
  <c r="N327"/>
  <c r="O327" s="1"/>
  <c r="N323"/>
  <c r="O323" s="1"/>
  <c r="N321"/>
  <c r="O321" s="1"/>
  <c r="N319"/>
  <c r="O319" s="1"/>
  <c r="N355"/>
  <c r="O355" s="1"/>
  <c r="N396"/>
  <c r="O396" s="1"/>
  <c r="N395"/>
  <c r="O395" s="1"/>
  <c r="N394"/>
  <c r="O394" s="1"/>
  <c r="N393"/>
  <c r="O393" s="1"/>
  <c r="N392"/>
  <c r="O392" s="1"/>
  <c r="N391"/>
  <c r="O391" s="1"/>
  <c r="N390"/>
  <c r="O390" s="1"/>
  <c r="N389"/>
  <c r="O389" s="1"/>
  <c r="N388"/>
  <c r="O388" s="1"/>
  <c r="N387"/>
  <c r="O387" s="1"/>
  <c r="N386"/>
  <c r="O386" s="1"/>
  <c r="N385"/>
  <c r="O385" s="1"/>
  <c r="N384"/>
  <c r="O384" s="1"/>
  <c r="N383"/>
  <c r="O383" s="1"/>
  <c r="N382"/>
  <c r="O382" s="1"/>
  <c r="N381"/>
  <c r="O381" s="1"/>
  <c r="N380"/>
  <c r="O380" s="1"/>
  <c r="N379"/>
  <c r="O379" s="1"/>
  <c r="N378"/>
  <c r="O378" s="1"/>
  <c r="N377"/>
  <c r="O377" s="1"/>
  <c r="N376"/>
  <c r="O376" s="1"/>
  <c r="N375"/>
  <c r="O375" s="1"/>
  <c r="N374"/>
  <c r="O374" s="1"/>
  <c r="N373"/>
  <c r="O373" s="1"/>
  <c r="N372"/>
  <c r="O372" s="1"/>
  <c r="N371"/>
  <c r="O371" s="1"/>
  <c r="N370"/>
  <c r="O370" s="1"/>
  <c r="N369"/>
  <c r="O369" s="1"/>
  <c r="N368"/>
  <c r="O368" s="1"/>
  <c r="N367"/>
  <c r="O367" s="1"/>
  <c r="N366"/>
  <c r="O366" s="1"/>
  <c r="N365"/>
  <c r="O365" s="1"/>
  <c r="N364"/>
  <c r="O364" s="1"/>
  <c r="N363"/>
  <c r="O363" s="1"/>
  <c r="N362"/>
  <c r="O362" s="1"/>
  <c r="N361"/>
  <c r="O361" s="1"/>
  <c r="N360"/>
  <c r="O360" s="1"/>
  <c r="N359"/>
  <c r="O359" s="1"/>
  <c r="N358"/>
  <c r="O358" s="1"/>
  <c r="N357"/>
  <c r="O357" s="1"/>
  <c r="N356"/>
  <c r="O356" s="1"/>
  <c r="N343"/>
  <c r="O343" s="1"/>
  <c r="N347"/>
  <c r="O347" s="1"/>
  <c r="N342"/>
  <c r="O342" s="1"/>
  <c r="N338"/>
  <c r="O338" s="1"/>
  <c r="N336"/>
  <c r="O336" s="1"/>
  <c r="N333"/>
  <c r="O333" s="1"/>
  <c r="N350"/>
  <c r="O350" s="1"/>
  <c r="N345"/>
  <c r="O345" s="1"/>
  <c r="N341"/>
  <c r="O341" s="1"/>
  <c r="N330"/>
  <c r="O330" s="1"/>
  <c r="N329"/>
  <c r="O329" s="1"/>
  <c r="N326"/>
  <c r="O326" s="1"/>
  <c r="N354"/>
  <c r="O354" s="1"/>
  <c r="N351"/>
  <c r="O351" s="1"/>
  <c r="N346"/>
  <c r="O346" s="1"/>
  <c r="N340"/>
  <c r="O340" s="1"/>
  <c r="N337"/>
  <c r="O337" s="1"/>
  <c r="N332"/>
  <c r="O332" s="1"/>
  <c r="N325"/>
  <c r="O325" s="1"/>
  <c r="N322"/>
  <c r="O322" s="1"/>
  <c r="D228"/>
  <c r="C248"/>
  <c r="D248" s="1"/>
  <c r="E248" s="1"/>
  <c r="F217" s="1"/>
  <c r="I247"/>
  <c r="L247" s="1"/>
  <c r="N247" s="1"/>
  <c r="N353"/>
  <c r="O353" s="1"/>
  <c r="N349"/>
  <c r="O349" s="1"/>
  <c r="N348"/>
  <c r="O348" s="1"/>
  <c r="N344"/>
  <c r="O344" s="1"/>
  <c r="N339"/>
  <c r="O339" s="1"/>
  <c r="N335"/>
  <c r="O335" s="1"/>
  <c r="N331"/>
  <c r="O331" s="1"/>
  <c r="N328"/>
  <c r="O328" s="1"/>
  <c r="N324"/>
  <c r="O324" s="1"/>
  <c r="N320"/>
  <c r="O320" s="1"/>
  <c r="C271"/>
  <c r="D271" s="1"/>
  <c r="E271" s="1"/>
  <c r="F240" s="1"/>
  <c r="C268"/>
  <c r="D268" s="1"/>
  <c r="E268" s="1"/>
  <c r="F237" s="1"/>
  <c r="C265"/>
  <c r="D265" s="1"/>
  <c r="E265" s="1"/>
  <c r="F234" s="1"/>
  <c r="G234" s="1"/>
  <c r="C263"/>
  <c r="D263" s="1"/>
  <c r="E263" s="1"/>
  <c r="F232" s="1"/>
  <c r="C252"/>
  <c r="D252" s="1"/>
  <c r="E252" s="1"/>
  <c r="F221" s="1"/>
  <c r="C249"/>
  <c r="D249" s="1"/>
  <c r="E249" s="1"/>
  <c r="F218" s="1"/>
  <c r="G218" s="1"/>
  <c r="C247"/>
  <c r="D247" s="1"/>
  <c r="E247" s="1"/>
  <c r="F216" s="1"/>
  <c r="D239"/>
  <c r="D235"/>
  <c r="D231"/>
  <c r="D227"/>
  <c r="D223"/>
  <c r="D219"/>
  <c r="E219" s="1"/>
  <c r="G219" s="1"/>
  <c r="D216"/>
  <c r="E216" s="1"/>
  <c r="L201"/>
  <c r="L193"/>
  <c r="D243"/>
  <c r="H249" s="1"/>
  <c r="D237"/>
  <c r="D233"/>
  <c r="D229"/>
  <c r="D225"/>
  <c r="D221"/>
  <c r="D217"/>
  <c r="E217" s="1"/>
  <c r="L203"/>
  <c r="H194"/>
  <c r="L195"/>
  <c r="G194"/>
  <c r="A273"/>
  <c r="C255" s="1"/>
  <c r="D255" s="1"/>
  <c r="E255" s="1"/>
  <c r="F224" s="1"/>
  <c r="H236"/>
  <c r="G236"/>
  <c r="I236"/>
  <c r="G235"/>
  <c r="H235"/>
  <c r="I235" s="1"/>
  <c r="H232"/>
  <c r="I232" s="1"/>
  <c r="H228"/>
  <c r="H224"/>
  <c r="H220"/>
  <c r="H238"/>
  <c r="I238" s="1"/>
  <c r="G238"/>
  <c r="H234"/>
  <c r="I234" s="1"/>
  <c r="H233"/>
  <c r="I233" s="1"/>
  <c r="H230"/>
  <c r="H226"/>
  <c r="H225"/>
  <c r="G222"/>
  <c r="H218"/>
  <c r="H217"/>
  <c r="I217" s="1"/>
  <c r="H219" l="1"/>
  <c r="I219" s="1"/>
  <c r="I220"/>
  <c r="G240"/>
  <c r="G217"/>
  <c r="G220"/>
  <c r="G233"/>
  <c r="M197"/>
  <c r="H221"/>
  <c r="I221" s="1"/>
  <c r="H237"/>
  <c r="I237" s="1"/>
  <c r="G223"/>
  <c r="G231"/>
  <c r="G239"/>
  <c r="H216"/>
  <c r="I216" s="1"/>
  <c r="O397"/>
  <c r="I258" s="1"/>
  <c r="C261"/>
  <c r="D261" s="1"/>
  <c r="E261" s="1"/>
  <c r="F230" s="1"/>
  <c r="C260"/>
  <c r="D260" s="1"/>
  <c r="E260" s="1"/>
  <c r="F229" s="1"/>
  <c r="G229" s="1"/>
  <c r="H229"/>
  <c r="C259"/>
  <c r="D259" s="1"/>
  <c r="E259" s="1"/>
  <c r="F228" s="1"/>
  <c r="C258"/>
  <c r="D258" s="1"/>
  <c r="E258" s="1"/>
  <c r="F227" s="1"/>
  <c r="G227" s="1"/>
  <c r="H227"/>
  <c r="C257"/>
  <c r="D257" s="1"/>
  <c r="E257" s="1"/>
  <c r="F226" s="1"/>
  <c r="I218"/>
  <c r="C256"/>
  <c r="D256" s="1"/>
  <c r="E256" s="1"/>
  <c r="F225" s="1"/>
  <c r="G225" s="1"/>
  <c r="M198"/>
  <c r="K205" s="1"/>
  <c r="L194"/>
  <c r="K207" s="1"/>
  <c r="I263" s="1"/>
  <c r="G224"/>
  <c r="I224"/>
  <c r="H248" l="1"/>
  <c r="H239"/>
  <c r="I239" s="1"/>
  <c r="H231"/>
  <c r="I231" s="1"/>
  <c r="H223"/>
  <c r="I223" s="1"/>
  <c r="G237"/>
  <c r="G221"/>
  <c r="G216"/>
  <c r="I230"/>
  <c r="G230"/>
  <c r="I229"/>
  <c r="G228"/>
  <c r="I228"/>
  <c r="I227"/>
  <c r="G226"/>
  <c r="I226"/>
  <c r="F241"/>
  <c r="H250" s="1"/>
  <c r="J250" s="1"/>
  <c r="I264" s="1"/>
  <c r="I225"/>
  <c r="G241" l="1"/>
  <c r="H251" s="1"/>
  <c r="I252" s="1"/>
  <c r="I241"/>
  <c r="I265"/>
  <c r="T342" s="1"/>
  <c r="S319" s="1"/>
  <c r="S346" s="1"/>
  <c r="K100" s="1"/>
  <c r="G242" l="1"/>
  <c r="I255"/>
  <c r="I256" s="1"/>
  <c r="N267" s="1"/>
  <c r="I270" s="1"/>
  <c r="J98" s="1"/>
  <c r="I266"/>
  <c r="K266"/>
  <c r="J100"/>
  <c r="I271" l="1"/>
  <c r="J99" s="1"/>
  <c r="I267"/>
  <c r="I268" s="1"/>
  <c r="I269" s="1"/>
  <c r="J97" s="1"/>
  <c r="K268"/>
  <c r="I257"/>
  <c r="I259" s="1"/>
  <c r="I260" s="1"/>
  <c r="I262" s="1"/>
  <c r="I105" s="1"/>
  <c r="I102" l="1"/>
  <c r="C107" s="1"/>
  <c r="F107" s="1"/>
  <c r="H108" s="1"/>
  <c r="L108" s="1"/>
  <c r="G272" l="1"/>
  <c r="G273" s="1"/>
  <c r="H273" s="1"/>
  <c r="J274" s="1"/>
  <c r="G109" s="1"/>
  <c r="H274" l="1"/>
  <c r="I274" s="1"/>
  <c r="F109" s="1"/>
</calcChain>
</file>

<file path=xl/sharedStrings.xml><?xml version="1.0" encoding="utf-8"?>
<sst xmlns="http://schemas.openxmlformats.org/spreadsheetml/2006/main" count="1547" uniqueCount="249">
  <si>
    <t>et vous verrez la simulation en bas de la feuille.</t>
  </si>
  <si>
    <r>
      <rPr>
        <sz val="12"/>
        <rFont val="Arial"/>
        <family val="2"/>
      </rPr>
      <t>Certaines cellules sont préremplies.</t>
    </r>
    <r>
      <rPr>
        <b/>
        <sz val="12"/>
        <rFont val="Arial"/>
        <family val="2"/>
      </rPr>
      <t xml:space="preserve"> Effacez-les ou écrivez par dessus si nécessaire</t>
    </r>
  </si>
  <si>
    <t>jour</t>
  </si>
  <si>
    <t>mois</t>
  </si>
  <si>
    <t>année</t>
  </si>
  <si>
    <t>1.</t>
  </si>
  <si>
    <t>/</t>
  </si>
  <si>
    <t>sexe :</t>
  </si>
  <si>
    <t>F</t>
  </si>
  <si>
    <t>2.</t>
  </si>
  <si>
    <r>
      <rPr>
        <sz val="12"/>
        <rFont val="Arial"/>
        <family val="2"/>
      </rPr>
      <t>Enfants né.e.s ou adopté.e.s</t>
    </r>
    <r>
      <rPr>
        <b/>
        <sz val="12"/>
        <rFont val="Arial"/>
        <family val="2"/>
      </rPr>
      <t xml:space="preserve"> avant</t>
    </r>
    <r>
      <rPr>
        <sz val="12"/>
        <rFont val="Arial"/>
        <family val="2"/>
      </rPr>
      <t xml:space="preserve"> le 1/1/2004 :</t>
    </r>
  </si>
  <si>
    <t>activité réduite pendant au moins 2 mois (OUI/NON) :</t>
  </si>
  <si>
    <t>OUI</t>
  </si>
  <si>
    <t>NON</t>
  </si>
  <si>
    <t>élevé.e au moins 9 ans avant 16ème anniversaire (OUI/NON) :</t>
  </si>
  <si>
    <r>
      <rPr>
        <sz val="12"/>
        <rFont val="Arial"/>
        <family val="2"/>
      </rPr>
      <t>Enfants né.e.s ou adopté.e.s</t>
    </r>
    <r>
      <rPr>
        <b/>
        <sz val="12"/>
        <rFont val="Arial"/>
        <family val="2"/>
      </rPr>
      <t xml:space="preserve"> après</t>
    </r>
    <r>
      <rPr>
        <sz val="12"/>
        <rFont val="Arial"/>
        <family val="2"/>
      </rPr>
      <t xml:space="preserve"> le 1/1/2004 :</t>
    </r>
  </si>
  <si>
    <t>activité réduite pendant au plus 6 mois (OUI/NON) :</t>
  </si>
  <si>
    <t>Si vous n’avez pas eu d’activité salariée dans le privé, laissez les rubriques 3.a, 3.b et 3.c inchangées et passez directement à la 4.</t>
  </si>
  <si>
    <t>3.a</t>
  </si>
  <si>
    <r>
      <rPr>
        <b/>
        <sz val="12"/>
        <rFont val="Arial"/>
        <family val="2"/>
      </rPr>
      <t>Eventuellement</t>
    </r>
    <r>
      <rPr>
        <sz val="12"/>
        <rFont val="Arial"/>
        <family val="2"/>
      </rPr>
      <t xml:space="preserve">, Indiquez vos </t>
    </r>
    <r>
      <rPr>
        <b/>
        <sz val="12"/>
        <rFont val="Arial"/>
        <family val="2"/>
      </rPr>
      <t>points</t>
    </r>
    <r>
      <rPr>
        <sz val="12"/>
        <rFont val="Arial"/>
        <family val="2"/>
      </rPr>
      <t xml:space="preserve"> acquis au 31 déc. 2018 :</t>
    </r>
  </si>
  <si>
    <t>IRCANTEC :</t>
  </si>
  <si>
    <t>ARRCO :</t>
  </si>
  <si>
    <t>3.b</t>
  </si>
  <si>
    <r>
      <rPr>
        <b/>
        <sz val="12"/>
        <rFont val="Arial"/>
        <family val="2"/>
      </rPr>
      <t>Eventuellement, combien de trimestres validés au</t>
    </r>
    <r>
      <rPr>
        <sz val="12"/>
        <rFont val="Arial"/>
        <family val="2"/>
      </rPr>
      <t xml:space="preserve"> titre du Régime Général ?</t>
    </r>
  </si>
  <si>
    <t>trimestres</t>
  </si>
  <si>
    <t>(nombre entier de trimestres d’assurance)</t>
  </si>
  <si>
    <t>3.c</t>
  </si>
  <si>
    <t>Eventuellement, carrière Régime Général  :</t>
  </si>
  <si>
    <t>(Si c’est libellé en F, écrivez dans la colonne de gauche ; si c’est en €, dans la colonne de droite)</t>
  </si>
  <si>
    <t>Sommes en FR</t>
  </si>
  <si>
    <t>Sommes en €</t>
  </si>
  <si>
    <t>4.</t>
  </si>
  <si>
    <t>Carrière Fonction Publique :</t>
  </si>
  <si>
    <t xml:space="preserve">Trimestres rachetés ou validés pour Fonction Publique </t>
  </si>
  <si>
    <t>assurance uniquement :</t>
  </si>
  <si>
    <t>pour activités avant recrutement (Etudes, services auxiliaires … ) :</t>
  </si>
  <si>
    <t>liquidation uniquement :</t>
  </si>
  <si>
    <t>les deux :</t>
  </si>
  <si>
    <r>
      <rPr>
        <b/>
        <sz val="12"/>
        <rFont val="Arial"/>
        <family val="2"/>
      </rPr>
      <t>Depuis le recrutement (inclus)  jusqu’à maintenant</t>
    </r>
    <r>
      <rPr>
        <sz val="12"/>
        <rFont val="Arial"/>
        <family val="2"/>
      </rPr>
      <t>, précisez votre déroulement de carrière (changements de corps, grade, échelon) :</t>
    </r>
  </si>
  <si>
    <t>obtenu le :</t>
  </si>
  <si>
    <t>Corps</t>
  </si>
  <si>
    <t>Classe</t>
  </si>
  <si>
    <t>Echelon</t>
  </si>
  <si>
    <t>MCF</t>
  </si>
  <si>
    <t>Normale</t>
  </si>
  <si>
    <t>HC</t>
  </si>
  <si>
    <t>5.</t>
  </si>
  <si>
    <t>Si vous décidez de prendre votre retraite à </t>
  </si>
  <si>
    <t xml:space="preserve">  ans, estimez dans quelle situation vous serez les 6 derniers mois :</t>
  </si>
  <si>
    <t>CE</t>
  </si>
  <si>
    <t>B3</t>
  </si>
  <si>
    <t>6.</t>
  </si>
  <si>
    <t>Estimez votre taux de rémunérations accessoires (primes, heures supplémentaires …) :</t>
  </si>
  <si>
    <t>Voici le résultat de la simulation :</t>
  </si>
  <si>
    <t xml:space="preserve">A  </t>
  </si>
  <si>
    <t>ans,</t>
  </si>
  <si>
    <t>avec le système actuel, votre pension de fonctionnaire serait :</t>
  </si>
  <si>
    <t>Votre pension RAFP serait :</t>
  </si>
  <si>
    <t>Votre pension régime général serait :</t>
  </si>
  <si>
    <t>Votre pension IRCANTEC serait :</t>
  </si>
  <si>
    <t>Votre pension ARRCO serait :</t>
  </si>
  <si>
    <t>Soit un total de :</t>
  </si>
  <si>
    <t>brut mensuel</t>
  </si>
  <si>
    <t>Avec le système Macron, votre pension deviendrait :</t>
  </si>
  <si>
    <t>C’est une perte de :</t>
  </si>
  <si>
    <t>soit :</t>
  </si>
  <si>
    <t xml:space="preserve">C’est comme si on décidait de payer votre pension pendant seulement </t>
  </si>
  <si>
    <t>et plus rien pour les</t>
  </si>
  <si>
    <t>mois suivants !</t>
  </si>
  <si>
    <t>C’est comme si on vous payait seulement jusqu’au</t>
  </si>
  <si>
    <t>et plus rien après !</t>
  </si>
  <si>
    <t>ProfEcole</t>
  </si>
  <si>
    <t>Trimestres dus</t>
  </si>
  <si>
    <t>Janvier</t>
  </si>
  <si>
    <t>H</t>
  </si>
  <si>
    <t>Psychologue</t>
  </si>
  <si>
    <t>février</t>
  </si>
  <si>
    <t>CPE</t>
  </si>
  <si>
    <t>Bool</t>
  </si>
  <si>
    <t>mars</t>
  </si>
  <si>
    <t>PLP</t>
  </si>
  <si>
    <t>avril</t>
  </si>
  <si>
    <t>Documentaliste</t>
  </si>
  <si>
    <t>mai</t>
  </si>
  <si>
    <t>2ème classe</t>
  </si>
  <si>
    <t>Certifié</t>
  </si>
  <si>
    <t>juin</t>
  </si>
  <si>
    <t>1ère classe</t>
  </si>
  <si>
    <t>Agrégé</t>
  </si>
  <si>
    <t>juillet</t>
  </si>
  <si>
    <t>Cl. sup</t>
  </si>
  <si>
    <t>août</t>
  </si>
  <si>
    <t>Pcpal 1ère cl.</t>
  </si>
  <si>
    <t>PU</t>
  </si>
  <si>
    <t>Départ</t>
  </si>
  <si>
    <t>septembre</t>
  </si>
  <si>
    <t>Pcpal 2ème cl.</t>
  </si>
  <si>
    <t>IGR</t>
  </si>
  <si>
    <t>octobre</t>
  </si>
  <si>
    <t>Pcpal</t>
  </si>
  <si>
    <t>IGE</t>
  </si>
  <si>
    <t>novembre</t>
  </si>
  <si>
    <t>ASI</t>
  </si>
  <si>
    <t>décembre</t>
  </si>
  <si>
    <t>Mois</t>
  </si>
  <si>
    <t>TECHRF</t>
  </si>
  <si>
    <t>Coeff RAFP</t>
  </si>
  <si>
    <t>ATRF</t>
  </si>
  <si>
    <t>AAE</t>
  </si>
  <si>
    <t>ADMAENES</t>
  </si>
  <si>
    <t>SAENES</t>
  </si>
  <si>
    <t>A1</t>
  </si>
  <si>
    <t>ADJA</t>
  </si>
  <si>
    <t>A2</t>
  </si>
  <si>
    <t>CG</t>
  </si>
  <si>
    <t>A3</t>
  </si>
  <si>
    <t>CONS</t>
  </si>
  <si>
    <t>B1</t>
  </si>
  <si>
    <t>CONS EL</t>
  </si>
  <si>
    <t>B2</t>
  </si>
  <si>
    <t>BIB</t>
  </si>
  <si>
    <t>BIBAS</t>
  </si>
  <si>
    <t>C1</t>
  </si>
  <si>
    <t>MAG</t>
  </si>
  <si>
    <t>C2</t>
  </si>
  <si>
    <t>CED</t>
  </si>
  <si>
    <t>C3</t>
  </si>
  <si>
    <t>D1</t>
  </si>
  <si>
    <t>D2</t>
  </si>
  <si>
    <t>D3</t>
  </si>
  <si>
    <t>E1</t>
  </si>
  <si>
    <t>E2</t>
  </si>
  <si>
    <t>Jour</t>
  </si>
  <si>
    <t>Année</t>
  </si>
  <si>
    <t>Recrut</t>
  </si>
  <si>
    <t>Enfants :</t>
  </si>
  <si>
    <t>enfant(s)</t>
  </si>
  <si>
    <t>enfant(s) avec réduction activité</t>
  </si>
  <si>
    <t>enfant(s) élevé.e.(s) 9ans …</t>
  </si>
  <si>
    <t>Total</t>
  </si>
  <si>
    <t>enfant(s) après recrutement et avec réduction activité</t>
  </si>
  <si>
    <t>majoration actuelle :</t>
  </si>
  <si>
    <t>majoration Macron :</t>
  </si>
  <si>
    <t>bonification actuelle :</t>
  </si>
  <si>
    <t>bonification Macron :</t>
  </si>
  <si>
    <t>?</t>
  </si>
  <si>
    <t>carrière FP passée</t>
  </si>
  <si>
    <t>Numéro</t>
  </si>
  <si>
    <t>Indice2</t>
  </si>
  <si>
    <t>Durée</t>
  </si>
  <si>
    <t>Pondéré</t>
  </si>
  <si>
    <t>Avant 2005 ?</t>
  </si>
  <si>
    <t>Total :</t>
  </si>
  <si>
    <t>Indice moyen :</t>
  </si>
  <si>
    <t>(indice terminal)</t>
  </si>
  <si>
    <t>annéedépart :</t>
  </si>
  <si>
    <t>aujourdhui :</t>
  </si>
  <si>
    <t>dates</t>
  </si>
  <si>
    <t>durée</t>
  </si>
  <si>
    <t>durée mois</t>
  </si>
  <si>
    <t>durée ans</t>
  </si>
  <si>
    <t>datedépart :</t>
  </si>
  <si>
    <t>temps post aujourdhui :</t>
  </si>
  <si>
    <t>jours</t>
  </si>
  <si>
    <t>donc</t>
  </si>
  <si>
    <t>années, soit</t>
  </si>
  <si>
    <t>Indiceaujourdhui :</t>
  </si>
  <si>
    <t>Indicefinal :</t>
  </si>
  <si>
    <t>total années :</t>
  </si>
  <si>
    <t>soit</t>
  </si>
  <si>
    <t>Total indice :</t>
  </si>
  <si>
    <t>indice moyen global :</t>
  </si>
  <si>
    <t>point indice :</t>
  </si>
  <si>
    <t>(annuel)</t>
  </si>
  <si>
    <t>Taux  rémunérations accessoires (primes, HC, …) :</t>
  </si>
  <si>
    <t>Total traitements FP : </t>
  </si>
  <si>
    <t>Total rémunérations accessoires FP :</t>
  </si>
  <si>
    <t>Total rémunérations FP :</t>
  </si>
  <si>
    <t>Total RG :</t>
  </si>
  <si>
    <t>Total toutes rémunérations :</t>
  </si>
  <si>
    <t>Cotisation utile Macron :</t>
  </si>
  <si>
    <t>EffetPivot :</t>
  </si>
  <si>
    <t>Pension Macron :</t>
  </si>
  <si>
    <t>Bonif enfants :</t>
  </si>
  <si>
    <t>Trim FP :</t>
  </si>
  <si>
    <t>Total Trim assurance :</t>
  </si>
  <si>
    <t>Coeff Decote Surcote :</t>
  </si>
  <si>
    <t>Trim dus :</t>
  </si>
  <si>
    <t>Taux liquidation :</t>
  </si>
  <si>
    <t>Maxi 80 %</t>
  </si>
  <si>
    <t>Rémun. Acc. Après 2005 :</t>
  </si>
  <si>
    <t>Tx avec maj enf :</t>
  </si>
  <si>
    <t>Maxi 100 %</t>
  </si>
  <si>
    <t>assiette RAFP</t>
  </si>
  <si>
    <t>Pension FP :</t>
  </si>
  <si>
    <t>coeff maj RAFP :</t>
  </si>
  <si>
    <t>RAFP :</t>
  </si>
  <si>
    <t>Pension RG :</t>
  </si>
  <si>
    <t>nb jours :</t>
  </si>
  <si>
    <t>nb mois :</t>
  </si>
  <si>
    <t>nj jours résiduels :</t>
  </si>
  <si>
    <t>numéro</t>
  </si>
  <si>
    <t>Indice1</t>
  </si>
  <si>
    <t>normale</t>
  </si>
  <si>
    <t>Chiffres RG :</t>
  </si>
  <si>
    <t>coeff reval</t>
  </si>
  <si>
    <t>conversion</t>
  </si>
  <si>
    <t>euros</t>
  </si>
  <si>
    <t>totaux</t>
  </si>
  <si>
    <t>revalo</t>
  </si>
  <si>
    <t>Minoration IRCANTEC :</t>
  </si>
  <si>
    <t>âge</t>
  </si>
  <si>
    <t>minoration</t>
  </si>
  <si>
    <t>service point</t>
  </si>
  <si>
    <t>achat point :</t>
  </si>
  <si>
    <t>IRCANTEC acquis :</t>
  </si>
  <si>
    <t>Pension IRCANTEC :</t>
  </si>
  <si>
    <t>ARRCO</t>
  </si>
  <si>
    <t>Valeur du point 2019 :</t>
  </si>
  <si>
    <t>Minoration ARRCO :</t>
  </si>
  <si>
    <t>Nb points :</t>
  </si>
  <si>
    <t>Pension ARRCO :</t>
  </si>
  <si>
    <t>DR</t>
  </si>
  <si>
    <t>CR</t>
  </si>
  <si>
    <r>
      <t>Renseignez les cases en jaune (</t>
    </r>
    <r>
      <rPr>
        <b/>
        <sz val="13"/>
        <color theme="0"/>
        <rFont val="Arial"/>
        <family val="2"/>
      </rPr>
      <t>de préférence à l'aide des menus déroulants s'il y en a</t>
    </r>
    <r>
      <rPr>
        <b/>
        <sz val="13"/>
        <rFont val="Arial"/>
        <family val="2"/>
      </rPr>
      <t>)</t>
    </r>
  </si>
  <si>
    <t xml:space="preserve">(Utilisez impérativement les sigles indiqués dans la feuille "Mode-emploi", en respectant majuscules et minuscules) </t>
  </si>
  <si>
    <t>Date recrutement comme fonctionnaire stagiaire ou titulaire directement (jj/mm/aaaa) :</t>
  </si>
  <si>
    <r>
      <t xml:space="preserve">Indiquez votre </t>
    </r>
    <r>
      <rPr>
        <b/>
        <sz val="12"/>
        <rFont val="Arial"/>
        <family val="2"/>
      </rPr>
      <t>date de naissance  (jj / mm / aaaa)</t>
    </r>
    <r>
      <rPr>
        <sz val="12"/>
        <rFont val="Arial"/>
        <family val="2"/>
      </rPr>
      <t> :</t>
    </r>
  </si>
  <si>
    <t>date de naissance (jj / mm / aaaa) :</t>
  </si>
  <si>
    <r>
      <t>Depuis le début  jusqu’au 31 déc</t>
    </r>
    <r>
      <rPr>
        <b/>
        <sz val="12"/>
        <rFont val="Arial"/>
        <family val="2"/>
      </rPr>
      <t>. 2018</t>
    </r>
    <r>
      <rPr>
        <sz val="12"/>
        <rFont val="Arial"/>
        <family val="2"/>
      </rPr>
      <t xml:space="preserve">, précisez pour </t>
    </r>
    <r>
      <rPr>
        <b/>
        <sz val="12"/>
        <rFont val="Arial"/>
        <family val="2"/>
      </rPr>
      <t>chaque</t>
    </r>
    <r>
      <rPr>
        <sz val="12"/>
        <rFont val="Arial"/>
        <family val="2"/>
      </rPr>
      <t xml:space="preserve"> année le </t>
    </r>
    <r>
      <rPr>
        <b/>
        <sz val="12"/>
        <rFont val="Arial"/>
        <family val="2"/>
      </rPr>
      <t xml:space="preserve">total </t>
    </r>
    <r>
      <rPr>
        <sz val="12"/>
        <rFont val="Arial"/>
        <family val="2"/>
      </rPr>
      <t>brut perçu  :</t>
    </r>
  </si>
  <si>
    <t>Classe1</t>
  </si>
  <si>
    <t>(Directeur de Recherche)</t>
  </si>
  <si>
    <t>(Chargé de Recherche)</t>
  </si>
  <si>
    <t>(Chargé d'Etudes Documentaires)</t>
  </si>
  <si>
    <t>(Magasinier)</t>
  </si>
  <si>
    <t>(Assistant Bibliothécaire)</t>
  </si>
  <si>
    <t>(Conservateur)</t>
  </si>
  <si>
    <t>(Conservateur Général)</t>
  </si>
  <si>
    <t>(Bibliothécaire)</t>
  </si>
  <si>
    <t>INFENES</t>
  </si>
  <si>
    <t>(Infirmier.e)</t>
  </si>
  <si>
    <t>CTSS 1er gr</t>
  </si>
  <si>
    <t>CTSS 2ème gr</t>
  </si>
  <si>
    <t>ASS 1e grade</t>
  </si>
  <si>
    <t>ASS 2e grade</t>
  </si>
  <si>
    <t>(Assistant Serv Social)</t>
  </si>
  <si>
    <t>(Conseiller Techn Serv Social)</t>
  </si>
  <si>
    <t>Echelon (ou Chevron</t>
  </si>
  <si>
    <t>si échelle lettres)</t>
  </si>
</sst>
</file>

<file path=xl/styles.xml><?xml version="1.0" encoding="utf-8"?>
<styleSheet xmlns="http://schemas.openxmlformats.org/spreadsheetml/2006/main">
  <numFmts count="5">
    <numFmt numFmtId="164" formatCode="#,##0.00\ [$€-40C];[Red]\-#,##0.00\ [$€-40C]"/>
    <numFmt numFmtId="165" formatCode="00"/>
    <numFmt numFmtId="166" formatCode="#,##0.00\ [$F-40C];[Red]\-#,##0.00\ [$F-40C]"/>
    <numFmt numFmtId="167" formatCode="0.00\ %"/>
    <numFmt numFmtId="168" formatCode="dd/mm/yy"/>
  </numFmts>
  <fonts count="9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3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0"/>
        <bgColor indexed="19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0"/>
        <bgColor indexed="49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4"/>
      </patternFill>
    </fill>
    <fill>
      <patternFill patternType="solid">
        <fgColor indexed="54"/>
        <bgColor indexed="23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</cellStyleXfs>
  <cellXfs count="87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5" fillId="2" borderId="0" xfId="0" applyFont="1" applyFill="1"/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/>
    <xf numFmtId="0" fontId="4" fillId="2" borderId="0" xfId="0" applyFont="1" applyFill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66" fontId="3" fillId="4" borderId="1" xfId="0" applyNumberFormat="1" applyFont="1" applyFill="1" applyBorder="1" applyAlignment="1"/>
    <xf numFmtId="0" fontId="3" fillId="5" borderId="0" xfId="0" applyFont="1" applyFill="1"/>
    <xf numFmtId="0" fontId="0" fillId="5" borderId="0" xfId="0" applyFill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/>
    <xf numFmtId="0" fontId="3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0" fontId="0" fillId="2" borderId="0" xfId="0" applyFill="1"/>
    <xf numFmtId="167" fontId="5" fillId="0" borderId="0" xfId="0" applyNumberFormat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165" fontId="0" fillId="6" borderId="0" xfId="0" applyNumberFormat="1" applyFill="1"/>
    <xf numFmtId="165" fontId="0" fillId="4" borderId="0" xfId="0" applyNumberFormat="1" applyFill="1"/>
    <xf numFmtId="0" fontId="0" fillId="7" borderId="0" xfId="0" applyFill="1"/>
    <xf numFmtId="0" fontId="0" fillId="8" borderId="0" xfId="0" applyFill="1"/>
    <xf numFmtId="0" fontId="0" fillId="4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14" fontId="0" fillId="4" borderId="0" xfId="0" applyNumberFormat="1" applyFont="1" applyFill="1"/>
    <xf numFmtId="0" fontId="0" fillId="2" borderId="0" xfId="0" applyFont="1" applyFill="1"/>
    <xf numFmtId="14" fontId="0" fillId="0" borderId="0" xfId="0" applyNumberFormat="1" applyFont="1"/>
    <xf numFmtId="0" fontId="0" fillId="0" borderId="0" xfId="0" applyNumberFormat="1" applyFont="1"/>
    <xf numFmtId="167" fontId="0" fillId="4" borderId="0" xfId="0" applyNumberFormat="1" applyFont="1" applyFill="1"/>
    <xf numFmtId="0" fontId="0" fillId="4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8" fontId="0" fillId="0" borderId="0" xfId="0" applyNumberFormat="1"/>
    <xf numFmtId="0" fontId="0" fillId="4" borderId="0" xfId="0" applyFont="1" applyFill="1" applyAlignment="1">
      <alignment horizontal="right"/>
    </xf>
    <xf numFmtId="168" fontId="0" fillId="0" borderId="0" xfId="0" applyNumberFormat="1" applyAlignment="1">
      <alignment horizontal="center"/>
    </xf>
    <xf numFmtId="168" fontId="0" fillId="4" borderId="0" xfId="0" applyNumberFormat="1" applyFill="1"/>
    <xf numFmtId="0" fontId="0" fillId="4" borderId="0" xfId="0" applyNumberForma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4" borderId="0" xfId="0" applyFont="1" applyFill="1" applyAlignment="1">
      <alignment horizontal="left"/>
    </xf>
    <xf numFmtId="167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0" fillId="0" borderId="0" xfId="0" applyNumberFormat="1"/>
    <xf numFmtId="167" fontId="0" fillId="0" borderId="0" xfId="0" applyNumberFormat="1"/>
    <xf numFmtId="168" fontId="0" fillId="9" borderId="0" xfId="0" applyNumberFormat="1" applyFill="1"/>
    <xf numFmtId="0" fontId="0" fillId="10" borderId="0" xfId="0" applyFill="1"/>
    <xf numFmtId="164" fontId="3" fillId="4" borderId="0" xfId="0" applyNumberFormat="1" applyFont="1" applyFill="1"/>
    <xf numFmtId="164" fontId="3" fillId="11" borderId="0" xfId="0" applyNumberFormat="1" applyFont="1" applyFill="1"/>
    <xf numFmtId="164" fontId="0" fillId="1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0" fillId="4" borderId="0" xfId="0" applyNumberFormat="1" applyFill="1" applyAlignment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0" fillId="4" borderId="0" xfId="0" applyFill="1" applyAlignment="1">
      <alignment horizontal="left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</cellXfs>
  <cellStyles count="5">
    <cellStyle name="En-tête" xfId="3"/>
    <cellStyle name="Normal" xfId="0" builtinId="0"/>
    <cellStyle name="Résultat" xfId="1"/>
    <cellStyle name="Résultat2" xfId="2"/>
    <cellStyle name="Titre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DC"/>
      <rgbColor rgb="00808080"/>
      <rgbColor rgb="009999FF"/>
      <rgbColor rgb="00993366"/>
      <rgbColor rgb="00FFFFCC"/>
      <rgbColor rgb="00CCFFFF"/>
      <rgbColor rgb="00660066"/>
      <rgbColor rgb="00FF66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EE7E5"/>
      <rgbColor rgb="00FFFF99"/>
      <rgbColor rgb="0099CCFF"/>
      <rgbColor rgb="00FF99CC"/>
      <rgbColor rgb="00CC99FF"/>
      <rgbColor rgb="00F7D1D5"/>
      <rgbColor rgb="003366FF"/>
      <rgbColor rgb="0033CCCC"/>
      <rgbColor rgb="0081D41A"/>
      <rgbColor rgb="00FFCC00"/>
      <rgbColor rgb="00FF9900"/>
      <rgbColor rgb="00FF6600"/>
      <rgbColor rgb="005983B0"/>
      <rgbColor rgb="00729FC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695325</xdr:colOff>
      <xdr:row>0</xdr:row>
      <xdr:rowOff>76199</xdr:rowOff>
    </xdr:from>
    <xdr:to>
      <xdr:col>15</xdr:col>
      <xdr:colOff>171450</xdr:colOff>
      <xdr:row>66</xdr:row>
      <xdr:rowOff>104774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981325" y="76199"/>
          <a:ext cx="8620125" cy="10715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Pour signaler une erreur, améliorer l’outil, svp contacter : herve.lelourec@univ-nantes.fr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Simulateur Mode d’Emploi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1. Sur le site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info-retraite.fr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, vous récupérez un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R.I.S. (Relevé Individuel de Situation)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qui vous donne les infos suivantes,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arrêtées au 31/12/2018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 :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a) A la rubrique « RETRAITE DE BASE DES SALARIES DU SECTEUR PRIVE », vous avez les sommes éventuellement perçues ; faites le total des Francs et le total des € et reportez chacun de ces deux nombres dans le simulateur.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En 1ère page, rubrique « RETRAITE DE BASE », vous avez le nombre de trimestres d’assurance comme salarié du secteur privé. Reportez-le dans le simulateur.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Vous avez aussi les points acquis éventuels ARRCO et IRCANTEC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2. Sur votre E.N.T.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(Environnement Numérique de Travail de votre établissement)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, vous obtenez le déroulement précis des événements successifs de votre carrière (corps, grades ou classes, échelons, dates d’accès). Reportez-les dans le simulateur.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3. Autres sources possibles pour réunir les infos nécessaires :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Votre service R.H. d’établissement si E.N.T.  non suffisant.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ensap.gouv.fr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retraite.gouv.fr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retraitedeletat.gouv.fr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servicepublic.fr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caisse des dépôts : https://sl2.cdc.retraites.fr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vos feuilles de paye, vos archives (arrêtés de nomination, promotion)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4. Pour vos activités avant recrutement ayant donné lieu à des trimestres rachetés ou validés Fonction Publique (ex : études, services auxiliaires), notez le nombre de trimestres. Vérifiez que vous ne comptez pas un même trimestre à deux titres (RG et FP).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Certains rachats comptent uniquement pour la durée d’assurance, d’autres uniquement pour la durée de service, d’autres pour les deux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5. Enfin le simulateur a besoin de connaître votre sexe, les dates de naissance (la votre, celle des enfants éventuels). Pour les enfants nés avant le 1/1/2004, indiquer pour chacun s’il y a eu interruption d’activité ou réduction (moins que 80 %) pendant au moins 2 mois au cours des … . Pour les autres, indiquer pour chacun s’il y a eu interruption d’activité ou réduction (moins que 80% pendant au plus 6 mois au cours des … . Pour tous, indiquer si vous les avez élevés au moins 9 ans avant leur 16ème anniversaire ou avant qu’ils cessent de dépendre de vous pour les allocations familiales.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Modifiez le taux de rémunérations accessoire en fonction de la réalité de votre corps d’appartenance ou de votre réalité personnelle.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Choisissez un âge de départ entre 62 et 69 ans et une situation estimée au moment du départ : corps, classe, échelon.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Remarques :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Les données fixes et calculs » sont volontairement éloignés en bas de la feuille de saisie pour éviter les modifications qui fausseraient tout.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Approximations assumées :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le simulateur intègre les majorations pour enfants des deux systèmes. Il intègre aussi les bonifications de trimestres pour enfants dans le système actuel ; rien n’est connu quant aux éventuelles bonifications de points liées aux naissances dans le système Macron.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il utilise les grilles indiciaires PPCR, ceci afin de raffiner l’estimation de la carrière post-2019. De ce fait les sommes perçues avant 2019 sont majorées par rapport à la réalité, ainsi que la simulation de pension Macron par conséquent. Aucune incidence sur la simulation Fonction Publique : cela signifie que notre comparaison est « optimiste » et que la perte est pire encore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Pour faire simple, la carrière estimée après 2019 est considérée comme linéaire, ce qui minore un peu la pension Macron.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L’ensemble des rémunérations accessoires (i.e. primes, HC ..) est estimé à 10 % (paramètre modifiable dans la feuille en cellule H93)</a:t>
          </a: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Le calcul RAFP n’utilise pas le plafond à 20 % de l’assiette de cotisation (le traitement de base) mais avec 10 % indiqués ci-dessus, on en est loin donc pas de problème.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L’âge pivot du Rapport Delevoye est utilisé, mais on ne sait pas si cette modalité sera retenue finalement.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les modalités de transition (traduction en points de la carrière passée avant 2025) ne sont pas connues, donc on traite intégralement dans le système « Macron » ou intégralement dans le système actuel. Avantage : on compare vraiment les deux systèmes.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 - Le simulateur ne prend pas les périodes à temps partiel, les situations de handicap, les cas particuliers.</a:t>
          </a:r>
        </a:p>
        <a:p>
          <a:pPr algn="l" rtl="0">
            <a:defRPr sz="1000"/>
          </a:pPr>
          <a:r>
            <a:rPr lang="fr-FR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- Il ignore les temps partiels, ce qui gonfle les résultats absolus pour les deux systèmes, donc peu d'effet indésirable sur la fiabilité de la comparaison.</a:t>
          </a:r>
        </a:p>
        <a:p>
          <a:pPr algn="l" rtl="0">
            <a:defRPr sz="1000"/>
          </a:pPr>
          <a:endParaRPr lang="fr-FR" sz="12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209550</xdr:colOff>
      <xdr:row>0</xdr:row>
      <xdr:rowOff>114301</xdr:rowOff>
    </xdr:from>
    <xdr:to>
      <xdr:col>3</xdr:col>
      <xdr:colOff>390525</xdr:colOff>
      <xdr:row>6</xdr:row>
      <xdr:rowOff>152401</xdr:rowOff>
    </xdr:to>
    <xdr:sp macro="" textlink="">
      <xdr:nvSpPr>
        <xdr:cNvPr id="3" name="ZoneTexte 2"/>
        <xdr:cNvSpPr txBox="1"/>
      </xdr:nvSpPr>
      <xdr:spPr>
        <a:xfrm>
          <a:off x="209550" y="114301"/>
          <a:ext cx="2466975" cy="1009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Lors</a:t>
          </a:r>
          <a:r>
            <a:rPr lang="fr-FR" sz="1100" baseline="0"/>
            <a:t> de</a:t>
          </a:r>
          <a:r>
            <a:rPr lang="fr-FR" sz="1100"/>
            <a:t> la saisie d'une case "Corps",</a:t>
          </a:r>
          <a:r>
            <a:rPr lang="fr-FR" sz="1100" baseline="0"/>
            <a:t> il faut choisir dans la liste déroulante  ou taper </a:t>
          </a:r>
          <a:r>
            <a:rPr lang="fr-FR" sz="1100" b="1" baseline="0"/>
            <a:t>exactement </a:t>
          </a:r>
          <a:r>
            <a:rPr lang="fr-FR" sz="1100" baseline="0"/>
            <a:t>l'un des corps ci-dessous, en respectant majuscules et minuscules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B41"/>
  <sheetViews>
    <sheetView showGridLines="0" workbookViewId="0">
      <selection activeCell="B11" sqref="B11"/>
    </sheetView>
  </sheetViews>
  <sheetFormatPr baseColWidth="10" defaultRowHeight="12.75"/>
  <sheetData>
    <row r="9" spans="1:1">
      <c r="A9" t="s">
        <v>40</v>
      </c>
    </row>
    <row r="10" spans="1:1">
      <c r="A10" s="61" t="s">
        <v>71</v>
      </c>
    </row>
    <row r="11" spans="1:1">
      <c r="A11" s="61" t="s">
        <v>75</v>
      </c>
    </row>
    <row r="12" spans="1:1">
      <c r="A12" s="61" t="s">
        <v>77</v>
      </c>
    </row>
    <row r="13" spans="1:1">
      <c r="A13" s="61" t="s">
        <v>80</v>
      </c>
    </row>
    <row r="14" spans="1:1">
      <c r="A14" s="61" t="s">
        <v>82</v>
      </c>
    </row>
    <row r="15" spans="1:1">
      <c r="A15" s="76" t="s">
        <v>85</v>
      </c>
    </row>
    <row r="16" spans="1:1">
      <c r="A16" s="76" t="s">
        <v>88</v>
      </c>
    </row>
    <row r="17" spans="1:2">
      <c r="A17" s="76" t="s">
        <v>43</v>
      </c>
    </row>
    <row r="18" spans="1:2">
      <c r="A18" s="76" t="s">
        <v>93</v>
      </c>
    </row>
    <row r="19" spans="1:2">
      <c r="A19" s="76" t="s">
        <v>97</v>
      </c>
    </row>
    <row r="20" spans="1:2">
      <c r="A20" s="76" t="s">
        <v>100</v>
      </c>
    </row>
    <row r="21" spans="1:2">
      <c r="A21" s="76" t="s">
        <v>102</v>
      </c>
    </row>
    <row r="22" spans="1:2">
      <c r="A22" s="76" t="s">
        <v>105</v>
      </c>
    </row>
    <row r="23" spans="1:2">
      <c r="A23" s="76" t="s">
        <v>107</v>
      </c>
    </row>
    <row r="24" spans="1:2">
      <c r="A24" s="76" t="s">
        <v>108</v>
      </c>
    </row>
    <row r="25" spans="1:2">
      <c r="A25" s="76" t="s">
        <v>109</v>
      </c>
    </row>
    <row r="26" spans="1:2">
      <c r="A26" s="76" t="s">
        <v>110</v>
      </c>
    </row>
    <row r="27" spans="1:2">
      <c r="A27" s="76" t="s">
        <v>112</v>
      </c>
    </row>
    <row r="28" spans="1:2">
      <c r="A28" s="76" t="s">
        <v>114</v>
      </c>
      <c r="B28" t="s">
        <v>237</v>
      </c>
    </row>
    <row r="29" spans="1:2">
      <c r="A29" s="76" t="s">
        <v>116</v>
      </c>
      <c r="B29" t="s">
        <v>236</v>
      </c>
    </row>
    <row r="30" spans="1:2">
      <c r="A30" s="76" t="s">
        <v>118</v>
      </c>
    </row>
    <row r="31" spans="1:2">
      <c r="A31" s="76" t="s">
        <v>120</v>
      </c>
      <c r="B31" t="s">
        <v>238</v>
      </c>
    </row>
    <row r="32" spans="1:2">
      <c r="A32" s="76" t="s">
        <v>121</v>
      </c>
      <c r="B32" t="s">
        <v>235</v>
      </c>
    </row>
    <row r="33" spans="1:2">
      <c r="A33" s="76" t="s">
        <v>123</v>
      </c>
      <c r="B33" t="s">
        <v>234</v>
      </c>
    </row>
    <row r="34" spans="1:2">
      <c r="A34" s="76" t="s">
        <v>125</v>
      </c>
      <c r="B34" t="s">
        <v>233</v>
      </c>
    </row>
    <row r="35" spans="1:2">
      <c r="A35" s="76" t="s">
        <v>222</v>
      </c>
      <c r="B35" t="s">
        <v>231</v>
      </c>
    </row>
    <row r="36" spans="1:2">
      <c r="A36" s="76" t="s">
        <v>223</v>
      </c>
      <c r="B36" t="s">
        <v>232</v>
      </c>
    </row>
    <row r="37" spans="1:2">
      <c r="A37" s="76" t="s">
        <v>239</v>
      </c>
      <c r="B37" t="s">
        <v>240</v>
      </c>
    </row>
    <row r="38" spans="1:2">
      <c r="A38" s="42" t="s">
        <v>241</v>
      </c>
      <c r="B38" t="s">
        <v>246</v>
      </c>
    </row>
    <row r="39" spans="1:2">
      <c r="A39" s="42" t="s">
        <v>242</v>
      </c>
    </row>
    <row r="40" spans="1:2">
      <c r="A40" s="42" t="s">
        <v>243</v>
      </c>
      <c r="B40" t="s">
        <v>245</v>
      </c>
    </row>
    <row r="41" spans="1:2">
      <c r="A41" s="42" t="s">
        <v>244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898"/>
  <sheetViews>
    <sheetView tabSelected="1" workbookViewId="0"/>
  </sheetViews>
  <sheetFormatPr baseColWidth="10" defaultRowHeight="15"/>
  <cols>
    <col min="1" max="4" width="11.5703125" style="1" customWidth="1"/>
    <col min="5" max="5" width="24.7109375" style="1" customWidth="1"/>
    <col min="6" max="6" width="15.42578125" style="1" customWidth="1"/>
    <col min="7" max="7" width="18.140625" style="1" customWidth="1"/>
    <col min="8" max="8" width="13" style="1" customWidth="1"/>
    <col min="9" max="9" width="12.7109375" style="1" customWidth="1"/>
    <col min="10" max="10" width="13.140625" style="1" customWidth="1"/>
    <col min="11" max="11" width="12.7109375" style="1" customWidth="1"/>
    <col min="12" max="21" width="11.5703125" style="1" customWidth="1"/>
    <col min="22" max="22" width="13.140625" style="1" customWidth="1"/>
    <col min="23" max="64" width="11.5703125" style="1" customWidth="1"/>
  </cols>
  <sheetData>
    <row r="1" spans="1:40" ht="16.5">
      <c r="A1" s="2" t="s">
        <v>224</v>
      </c>
      <c r="B1" s="2"/>
      <c r="C1" s="2"/>
      <c r="D1" s="2"/>
      <c r="E1" s="2"/>
      <c r="F1" s="2"/>
      <c r="G1" s="2"/>
      <c r="H1" s="3"/>
      <c r="I1" s="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6.5">
      <c r="A2" s="2" t="s">
        <v>0</v>
      </c>
      <c r="B2" s="3"/>
      <c r="C2" s="3"/>
      <c r="D2" s="3"/>
      <c r="E2" s="3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>
      <c r="G4" s="5" t="s">
        <v>2</v>
      </c>
      <c r="I4" s="5" t="s">
        <v>3</v>
      </c>
      <c r="K4" s="5" t="s">
        <v>4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.75">
      <c r="A5" s="6" t="s">
        <v>5</v>
      </c>
      <c r="B5" s="1" t="s">
        <v>227</v>
      </c>
      <c r="G5" s="7">
        <v>1</v>
      </c>
      <c r="H5" s="5" t="s">
        <v>6</v>
      </c>
      <c r="I5" s="7">
        <v>9</v>
      </c>
      <c r="J5" s="5" t="s">
        <v>6</v>
      </c>
      <c r="K5" s="7">
        <v>1965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>
      <c r="B6" s="1" t="s">
        <v>7</v>
      </c>
      <c r="C6" s="8" t="s">
        <v>8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.75">
      <c r="A7" s="6" t="s">
        <v>9</v>
      </c>
      <c r="B7" s="1" t="s">
        <v>10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>
      <c r="B8"/>
      <c r="D8" s="1" t="s">
        <v>228</v>
      </c>
      <c r="F8" s="9">
        <v>34681</v>
      </c>
      <c r="G8" s="9">
        <v>35067</v>
      </c>
      <c r="H8" s="9"/>
      <c r="I8" s="9"/>
      <c r="J8" s="9"/>
      <c r="K8" s="9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>
      <c r="B9" s="1" t="s">
        <v>11</v>
      </c>
      <c r="F9" s="8" t="s">
        <v>12</v>
      </c>
      <c r="G9" s="8" t="s">
        <v>12</v>
      </c>
      <c r="H9" s="8"/>
      <c r="I9" s="8"/>
      <c r="J9" s="8"/>
      <c r="K9" s="8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>
      <c r="A10" s="1" t="s">
        <v>14</v>
      </c>
      <c r="B10"/>
      <c r="F10" s="8" t="s">
        <v>12</v>
      </c>
      <c r="G10" s="8" t="s">
        <v>12</v>
      </c>
      <c r="H10" s="8"/>
      <c r="I10" s="8"/>
      <c r="J10" s="8"/>
      <c r="K10" s="8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>
      <c r="F11" s="5"/>
      <c r="G11" s="5"/>
      <c r="H11" s="5"/>
      <c r="I11" s="5"/>
      <c r="J11" s="5"/>
      <c r="K11" s="5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.75">
      <c r="B12" s="1" t="s">
        <v>15</v>
      </c>
      <c r="F12" s="5"/>
      <c r="G12" s="5"/>
      <c r="H12" s="5"/>
      <c r="I12" s="5"/>
      <c r="J12" s="5"/>
      <c r="K12" s="5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>
      <c r="B13"/>
      <c r="D13" s="1" t="s">
        <v>228</v>
      </c>
      <c r="F13" s="9">
        <v>38119</v>
      </c>
      <c r="G13" s="9"/>
      <c r="H13" s="9"/>
      <c r="I13" s="9"/>
      <c r="J13" s="9"/>
      <c r="K13" s="9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>
      <c r="B14" s="1" t="s">
        <v>16</v>
      </c>
      <c r="F14" s="8" t="s">
        <v>12</v>
      </c>
      <c r="G14" s="8"/>
      <c r="H14" s="8"/>
      <c r="I14" s="8"/>
      <c r="J14" s="8"/>
      <c r="K14" s="8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>
      <c r="A15" s="1" t="s">
        <v>14</v>
      </c>
      <c r="B15"/>
      <c r="F15" s="8" t="s">
        <v>12</v>
      </c>
      <c r="G15" s="8"/>
      <c r="H15" s="8"/>
      <c r="I15" s="8"/>
      <c r="J15" s="8"/>
      <c r="K15" s="8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.75">
      <c r="A17" s="10" t="s">
        <v>17</v>
      </c>
      <c r="B17" s="4"/>
      <c r="C17" s="4"/>
      <c r="D17" s="4"/>
      <c r="E17" s="4"/>
      <c r="F17" s="4"/>
      <c r="G17" s="4"/>
      <c r="H17" s="4"/>
      <c r="I17" s="4"/>
      <c r="J17" s="4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6.5">
      <c r="A18" s="6" t="s">
        <v>18</v>
      </c>
      <c r="B18" s="11" t="s">
        <v>19</v>
      </c>
      <c r="F18"/>
      <c r="G18"/>
      <c r="H18" s="12" t="s">
        <v>20</v>
      </c>
      <c r="I18" s="78"/>
      <c r="J18" s="78"/>
      <c r="K18" s="2" t="s">
        <v>21</v>
      </c>
      <c r="L18" s="13">
        <v>90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.75">
      <c r="A20" s="6" t="s">
        <v>22</v>
      </c>
      <c r="B20" s="11" t="s">
        <v>23</v>
      </c>
      <c r="F20"/>
      <c r="G20"/>
      <c r="H20"/>
      <c r="I20" s="8">
        <v>18</v>
      </c>
      <c r="J20" s="1" t="s">
        <v>24</v>
      </c>
      <c r="K20"/>
      <c r="L20"/>
      <c r="M20"/>
      <c r="N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>
      <c r="B21" s="1" t="s">
        <v>25</v>
      </c>
      <c r="I21"/>
      <c r="J21"/>
      <c r="K21"/>
      <c r="L21"/>
      <c r="M21"/>
      <c r="N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.75">
      <c r="A23" s="6" t="s">
        <v>26</v>
      </c>
      <c r="B23" s="11" t="s">
        <v>27</v>
      </c>
      <c r="C23"/>
      <c r="F23" s="1" t="s">
        <v>229</v>
      </c>
      <c r="I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.75">
      <c r="B24" s="11"/>
      <c r="C24" s="11" t="s">
        <v>28</v>
      </c>
      <c r="I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>
      <c r="B25"/>
      <c r="C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>
      <c r="K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.75">
      <c r="C27" s="14" t="s">
        <v>4</v>
      </c>
      <c r="D27"/>
      <c r="E27" s="14" t="s">
        <v>29</v>
      </c>
      <c r="F27" s="15"/>
      <c r="G27" s="79" t="s">
        <v>30</v>
      </c>
      <c r="H27" s="79"/>
      <c r="I27" s="79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>
      <c r="C28" s="8">
        <v>1986</v>
      </c>
      <c r="D28" s="17"/>
      <c r="E28" s="18">
        <v>2000</v>
      </c>
      <c r="F28" s="3"/>
      <c r="G28" s="77"/>
      <c r="H28" s="77"/>
      <c r="I28" s="77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>
      <c r="C29" s="8">
        <v>1987</v>
      </c>
      <c r="D29" s="5"/>
      <c r="E29" s="18">
        <v>1500</v>
      </c>
      <c r="G29" s="77"/>
      <c r="H29" s="77"/>
      <c r="I29" s="77"/>
      <c r="J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>
      <c r="C30" s="8">
        <v>1988</v>
      </c>
      <c r="D30" s="17"/>
      <c r="E30" s="18">
        <v>6000</v>
      </c>
      <c r="F30" s="3"/>
      <c r="G30" s="77"/>
      <c r="H30" s="77"/>
      <c r="I30" s="77"/>
      <c r="J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>
      <c r="C31" s="8">
        <v>1989</v>
      </c>
      <c r="D31" s="5"/>
      <c r="E31" s="18">
        <v>10000</v>
      </c>
      <c r="G31" s="77"/>
      <c r="H31" s="77"/>
      <c r="I31" s="77"/>
      <c r="J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>
      <c r="C32" s="8">
        <v>1990</v>
      </c>
      <c r="D32" s="17"/>
      <c r="E32" s="18">
        <v>15000</v>
      </c>
      <c r="F32" s="3"/>
      <c r="G32" s="77"/>
      <c r="H32" s="77"/>
      <c r="I32" s="77"/>
      <c r="J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3:40">
      <c r="C33" s="8">
        <v>1991</v>
      </c>
      <c r="D33" s="5"/>
      <c r="E33" s="18">
        <v>6000</v>
      </c>
      <c r="G33" s="77"/>
      <c r="H33" s="77"/>
      <c r="I33" s="77"/>
      <c r="J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3:40">
      <c r="C34" s="8"/>
      <c r="D34" s="17"/>
      <c r="E34" s="18"/>
      <c r="F34" s="3"/>
      <c r="G34" s="77"/>
      <c r="H34" s="77"/>
      <c r="I34" s="77"/>
      <c r="J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3:40">
      <c r="C35" s="8"/>
      <c r="D35" s="5"/>
      <c r="E35" s="18"/>
      <c r="G35" s="77"/>
      <c r="H35" s="77"/>
      <c r="I35" s="77"/>
      <c r="J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3:40">
      <c r="C36" s="8"/>
      <c r="D36" s="17"/>
      <c r="E36" s="18"/>
      <c r="F36" s="3"/>
      <c r="G36" s="77"/>
      <c r="H36" s="77"/>
      <c r="I36" s="77"/>
      <c r="J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3:40">
      <c r="C37" s="8"/>
      <c r="D37" s="5"/>
      <c r="E37" s="18"/>
      <c r="G37" s="77"/>
      <c r="H37" s="77"/>
      <c r="I37" s="77"/>
      <c r="J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3:40">
      <c r="C38" s="8"/>
      <c r="D38" s="17"/>
      <c r="E38" s="18"/>
      <c r="F38" s="3"/>
      <c r="G38" s="77"/>
      <c r="H38" s="77"/>
      <c r="I38" s="77"/>
      <c r="J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3:40">
      <c r="C39" s="8"/>
      <c r="D39" s="5"/>
      <c r="E39" s="18"/>
      <c r="G39" s="77"/>
      <c r="H39" s="77"/>
      <c r="I39" s="77"/>
      <c r="J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3:40">
      <c r="C40" s="8"/>
      <c r="D40" s="17"/>
      <c r="E40" s="18"/>
      <c r="F40" s="3"/>
      <c r="G40" s="77"/>
      <c r="H40" s="77"/>
      <c r="I40" s="77"/>
      <c r="J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3:40">
      <c r="C41" s="8"/>
      <c r="D41" s="5"/>
      <c r="E41" s="18"/>
      <c r="G41" s="77"/>
      <c r="H41" s="77"/>
      <c r="I41" s="77"/>
      <c r="J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3:40">
      <c r="C42" s="8"/>
      <c r="D42" s="17"/>
      <c r="E42" s="18"/>
      <c r="F42" s="3"/>
      <c r="G42" s="77"/>
      <c r="H42" s="77"/>
      <c r="I42" s="77"/>
      <c r="J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3:40">
      <c r="C43" s="8"/>
      <c r="D43" s="5"/>
      <c r="E43" s="18"/>
      <c r="G43" s="77"/>
      <c r="H43" s="77"/>
      <c r="I43" s="77"/>
      <c r="J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3:40">
      <c r="C44" s="8"/>
      <c r="D44" s="17"/>
      <c r="E44" s="18"/>
      <c r="F44" s="3"/>
      <c r="G44" s="77"/>
      <c r="H44" s="77"/>
      <c r="I44" s="77"/>
      <c r="J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3:40">
      <c r="C45" s="8"/>
      <c r="D45" s="5"/>
      <c r="E45" s="18"/>
      <c r="G45" s="77"/>
      <c r="H45" s="77"/>
      <c r="I45" s="77"/>
      <c r="J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3:40">
      <c r="C46" s="8"/>
      <c r="D46" s="17"/>
      <c r="E46" s="18"/>
      <c r="F46" s="3"/>
      <c r="G46" s="77"/>
      <c r="H46" s="77"/>
      <c r="I46" s="77"/>
      <c r="J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3:40">
      <c r="C47" s="8"/>
      <c r="D47" s="5"/>
      <c r="E47" s="18"/>
      <c r="G47" s="77"/>
      <c r="H47" s="77"/>
      <c r="I47" s="77"/>
      <c r="J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3:40">
      <c r="C48" s="8"/>
      <c r="D48" s="17"/>
      <c r="E48" s="18"/>
      <c r="F48" s="3"/>
      <c r="G48" s="77"/>
      <c r="H48" s="77"/>
      <c r="I48" s="77"/>
      <c r="J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1">
      <c r="C49" s="8"/>
      <c r="D49" s="5"/>
      <c r="E49" s="18"/>
      <c r="G49" s="77"/>
      <c r="H49" s="77"/>
      <c r="I49" s="77"/>
      <c r="J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1">
      <c r="C50" s="8"/>
      <c r="D50" s="17"/>
      <c r="E50" s="18"/>
      <c r="F50" s="3"/>
      <c r="G50" s="77"/>
      <c r="H50" s="77"/>
      <c r="I50" s="77"/>
      <c r="J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1">
      <c r="C51" s="8"/>
      <c r="D51" s="5"/>
      <c r="E51" s="18"/>
      <c r="G51" s="77"/>
      <c r="H51" s="77"/>
      <c r="I51" s="77"/>
      <c r="J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1">
      <c r="C52" s="8"/>
      <c r="D52" s="17"/>
      <c r="E52" s="18"/>
      <c r="F52" s="3"/>
      <c r="G52" s="77"/>
      <c r="H52" s="77"/>
      <c r="I52" s="77"/>
      <c r="J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1"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1" ht="15.75">
      <c r="A54" s="6" t="s">
        <v>31</v>
      </c>
      <c r="B54" s="11" t="s">
        <v>32</v>
      </c>
      <c r="F54" s="19" t="s">
        <v>33</v>
      </c>
      <c r="G54" s="19"/>
      <c r="H54" s="19"/>
      <c r="I54" s="20"/>
      <c r="J54" s="19"/>
      <c r="K54" s="19" t="s">
        <v>34</v>
      </c>
      <c r="L54" s="19"/>
      <c r="M54" s="19"/>
      <c r="N54" s="8">
        <v>0</v>
      </c>
      <c r="O54" s="1" t="s">
        <v>24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ht="15.75">
      <c r="B55" s="11"/>
      <c r="F55" s="19" t="s">
        <v>35</v>
      </c>
      <c r="G55" s="19"/>
      <c r="H55" s="19"/>
      <c r="I55" s="20"/>
      <c r="J55" s="19"/>
      <c r="K55" s="19" t="s">
        <v>36</v>
      </c>
      <c r="L55" s="19"/>
      <c r="M55" s="19"/>
      <c r="N55" s="8">
        <v>0</v>
      </c>
      <c r="O55" s="1" t="s">
        <v>24</v>
      </c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ht="15.75">
      <c r="B56" s="11"/>
      <c r="I56"/>
      <c r="K56" s="19" t="s">
        <v>37</v>
      </c>
      <c r="L56" s="19"/>
      <c r="M56" s="19"/>
      <c r="N56" s="8">
        <v>0</v>
      </c>
      <c r="O56" s="1" t="s">
        <v>24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ht="15.75">
      <c r="B57" s="11" t="s">
        <v>226</v>
      </c>
      <c r="H57" s="82">
        <v>33848</v>
      </c>
      <c r="I57" s="82"/>
      <c r="M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1" ht="15.75">
      <c r="B58" s="11" t="s">
        <v>38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1" ht="15.75">
      <c r="B59" s="11" t="s">
        <v>225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1" ht="15.75">
      <c r="B60" s="11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1" ht="15.75">
      <c r="I61" s="14" t="s">
        <v>247</v>
      </c>
      <c r="K61"/>
      <c r="L61" s="16" t="s">
        <v>39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1" ht="15.75">
      <c r="C62"/>
      <c r="D62"/>
      <c r="E62" s="14" t="s">
        <v>40</v>
      </c>
      <c r="F62" s="15"/>
      <c r="G62" s="14" t="s">
        <v>41</v>
      </c>
      <c r="H62" s="15"/>
      <c r="I62" s="14" t="s">
        <v>248</v>
      </c>
      <c r="J62" s="21"/>
      <c r="K62" s="14" t="s">
        <v>2</v>
      </c>
      <c r="L62" s="14" t="s">
        <v>3</v>
      </c>
      <c r="M62" s="14" t="s">
        <v>4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1">
      <c r="D63" s="17">
        <v>1</v>
      </c>
      <c r="E63" s="22" t="s">
        <v>43</v>
      </c>
      <c r="F63" s="3"/>
      <c r="G63" s="23" t="s">
        <v>84</v>
      </c>
      <c r="H63" s="3"/>
      <c r="I63" s="8">
        <v>1</v>
      </c>
      <c r="J63" s="3"/>
      <c r="K63" s="8">
        <v>1</v>
      </c>
      <c r="L63" s="8">
        <v>9</v>
      </c>
      <c r="M63" s="8">
        <v>1992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1">
      <c r="D64" s="5">
        <v>2</v>
      </c>
      <c r="E64" s="22" t="s">
        <v>43</v>
      </c>
      <c r="G64" s="23" t="s">
        <v>84</v>
      </c>
      <c r="I64" s="8">
        <v>2</v>
      </c>
      <c r="K64" s="8">
        <v>1</v>
      </c>
      <c r="L64" s="8">
        <v>9</v>
      </c>
      <c r="M64" s="8">
        <v>1993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4:40">
      <c r="D65" s="17">
        <v>3</v>
      </c>
      <c r="E65" s="22" t="s">
        <v>43</v>
      </c>
      <c r="F65" s="3"/>
      <c r="G65" s="23" t="s">
        <v>84</v>
      </c>
      <c r="H65" s="3"/>
      <c r="I65" s="8">
        <v>3</v>
      </c>
      <c r="J65" s="3"/>
      <c r="K65" s="8">
        <v>1</v>
      </c>
      <c r="L65" s="8">
        <v>9</v>
      </c>
      <c r="M65" s="8">
        <v>1995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4:40">
      <c r="D66" s="5">
        <v>4</v>
      </c>
      <c r="E66" s="22" t="s">
        <v>43</v>
      </c>
      <c r="G66" s="23" t="s">
        <v>87</v>
      </c>
      <c r="I66" s="8">
        <v>4</v>
      </c>
      <c r="K66" s="8">
        <v>1</v>
      </c>
      <c r="L66" s="8">
        <v>9</v>
      </c>
      <c r="M66" s="8">
        <v>1998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4:40">
      <c r="D67" s="17">
        <v>5</v>
      </c>
      <c r="E67" s="22" t="s">
        <v>43</v>
      </c>
      <c r="F67" s="3"/>
      <c r="G67" s="23" t="s">
        <v>44</v>
      </c>
      <c r="H67" s="3"/>
      <c r="I67" s="8">
        <v>5</v>
      </c>
      <c r="J67" s="3"/>
      <c r="K67" s="8">
        <v>1</v>
      </c>
      <c r="L67" s="8">
        <v>9</v>
      </c>
      <c r="M67" s="8">
        <v>2000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4:40">
      <c r="D68" s="5">
        <v>6</v>
      </c>
      <c r="E68" s="22" t="s">
        <v>43</v>
      </c>
      <c r="G68" s="23" t="s">
        <v>44</v>
      </c>
      <c r="I68" s="8">
        <v>6</v>
      </c>
      <c r="K68" s="8">
        <v>1</v>
      </c>
      <c r="L68" s="8">
        <v>9</v>
      </c>
      <c r="M68" s="8">
        <v>2003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4:40">
      <c r="D69" s="17">
        <v>7</v>
      </c>
      <c r="E69" s="22" t="s">
        <v>43</v>
      </c>
      <c r="F69" s="3"/>
      <c r="G69" s="23" t="s">
        <v>44</v>
      </c>
      <c r="H69" s="3"/>
      <c r="I69" s="8">
        <v>7</v>
      </c>
      <c r="J69" s="3"/>
      <c r="K69" s="8">
        <v>1</v>
      </c>
      <c r="L69" s="8">
        <v>9</v>
      </c>
      <c r="M69" s="8">
        <v>2006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4:40">
      <c r="D70" s="5">
        <v>8</v>
      </c>
      <c r="E70" s="22" t="s">
        <v>43</v>
      </c>
      <c r="G70" s="23" t="s">
        <v>45</v>
      </c>
      <c r="I70" s="8">
        <v>4</v>
      </c>
      <c r="K70" s="8">
        <v>1</v>
      </c>
      <c r="L70" s="8">
        <v>9</v>
      </c>
      <c r="M70" s="8">
        <v>2007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4:40">
      <c r="D71" s="17">
        <v>9</v>
      </c>
      <c r="E71" s="22" t="s">
        <v>43</v>
      </c>
      <c r="F71" s="3"/>
      <c r="G71" s="23" t="s">
        <v>45</v>
      </c>
      <c r="H71" s="3"/>
      <c r="I71" s="8">
        <v>5</v>
      </c>
      <c r="J71" s="3"/>
      <c r="K71" s="8">
        <v>1</v>
      </c>
      <c r="L71" s="8">
        <v>9</v>
      </c>
      <c r="M71" s="8">
        <v>2009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4:40">
      <c r="D72" s="5">
        <v>10</v>
      </c>
      <c r="E72" s="22" t="s">
        <v>43</v>
      </c>
      <c r="G72" s="23" t="s">
        <v>45</v>
      </c>
      <c r="I72" s="8" t="s">
        <v>111</v>
      </c>
      <c r="K72" s="8">
        <v>1</v>
      </c>
      <c r="L72" s="8">
        <v>9</v>
      </c>
      <c r="M72" s="8">
        <v>2011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4:40">
      <c r="D73" s="17">
        <v>11</v>
      </c>
      <c r="E73" s="22" t="s">
        <v>43</v>
      </c>
      <c r="F73" s="3"/>
      <c r="G73" s="23" t="s">
        <v>45</v>
      </c>
      <c r="H73" s="3"/>
      <c r="I73" s="8" t="s">
        <v>113</v>
      </c>
      <c r="J73" s="3"/>
      <c r="K73" s="8">
        <v>1</v>
      </c>
      <c r="L73" s="8">
        <v>9</v>
      </c>
      <c r="M73" s="8">
        <v>2012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4:40">
      <c r="D74" s="5">
        <v>12</v>
      </c>
      <c r="E74" s="22" t="s">
        <v>43</v>
      </c>
      <c r="G74" s="23" t="s">
        <v>45</v>
      </c>
      <c r="I74" s="8" t="s">
        <v>115</v>
      </c>
      <c r="K74" s="8">
        <v>1</v>
      </c>
      <c r="L74" s="8">
        <v>9</v>
      </c>
      <c r="M74" s="8">
        <v>2013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4:40">
      <c r="D75" s="17">
        <v>13</v>
      </c>
      <c r="E75" s="22" t="s">
        <v>43</v>
      </c>
      <c r="F75" s="3"/>
      <c r="G75" s="23" t="s">
        <v>49</v>
      </c>
      <c r="H75" s="3"/>
      <c r="I75" s="8" t="s">
        <v>117</v>
      </c>
      <c r="J75" s="3"/>
      <c r="K75" s="8">
        <v>1</v>
      </c>
      <c r="L75" s="8">
        <v>9</v>
      </c>
      <c r="M75" s="8">
        <v>2017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4:40">
      <c r="D76" s="5">
        <v>14</v>
      </c>
      <c r="E76" s="22" t="s">
        <v>43</v>
      </c>
      <c r="G76" s="23" t="s">
        <v>49</v>
      </c>
      <c r="I76" s="8" t="s">
        <v>119</v>
      </c>
      <c r="K76" s="8">
        <v>1</v>
      </c>
      <c r="L76" s="8">
        <v>9</v>
      </c>
      <c r="M76" s="8">
        <v>2018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4:40">
      <c r="D77" s="17">
        <v>15</v>
      </c>
      <c r="E77" s="22" t="s">
        <v>43</v>
      </c>
      <c r="F77" s="3"/>
      <c r="G77" s="23" t="s">
        <v>49</v>
      </c>
      <c r="H77" s="3"/>
      <c r="I77" s="8" t="s">
        <v>50</v>
      </c>
      <c r="J77" s="3"/>
      <c r="K77" s="8">
        <v>1</v>
      </c>
      <c r="L77" s="8">
        <v>9</v>
      </c>
      <c r="M77" s="8">
        <v>2019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4:40">
      <c r="D78" s="5">
        <v>16</v>
      </c>
      <c r="E78" s="22"/>
      <c r="G78" s="23"/>
      <c r="I78" s="8"/>
      <c r="K78" s="8"/>
      <c r="L78" s="8"/>
      <c r="M78" s="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4:40">
      <c r="D79" s="17">
        <v>17</v>
      </c>
      <c r="E79" s="22"/>
      <c r="F79" s="3"/>
      <c r="G79" s="23"/>
      <c r="H79" s="3"/>
      <c r="I79" s="8"/>
      <c r="J79" s="3"/>
      <c r="K79" s="8"/>
      <c r="L79" s="8"/>
      <c r="M79" s="8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4:40">
      <c r="D80" s="5">
        <v>18</v>
      </c>
      <c r="E80" s="22"/>
      <c r="G80" s="23"/>
      <c r="I80" s="8"/>
      <c r="K80" s="8"/>
      <c r="L80" s="8"/>
      <c r="M80" s="8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>
      <c r="D81" s="17">
        <v>19</v>
      </c>
      <c r="E81" s="22"/>
      <c r="F81" s="3"/>
      <c r="G81" s="23"/>
      <c r="H81" s="3"/>
      <c r="I81" s="8"/>
      <c r="J81" s="3"/>
      <c r="K81" s="8"/>
      <c r="L81" s="8"/>
      <c r="M81" s="8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>
      <c r="D82" s="5">
        <v>20</v>
      </c>
      <c r="E82" s="22"/>
      <c r="G82" s="23"/>
      <c r="I82" s="8"/>
      <c r="K82" s="8"/>
      <c r="L82" s="8"/>
      <c r="M82" s="8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>
      <c r="D83" s="17">
        <v>21</v>
      </c>
      <c r="E83" s="22"/>
      <c r="F83" s="3"/>
      <c r="G83" s="23"/>
      <c r="H83" s="3"/>
      <c r="I83" s="8"/>
      <c r="J83" s="3"/>
      <c r="K83" s="8"/>
      <c r="L83" s="8"/>
      <c r="M83" s="8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>
      <c r="D84" s="5">
        <v>22</v>
      </c>
      <c r="E84" s="22"/>
      <c r="G84" s="23"/>
      <c r="I84" s="8"/>
      <c r="K84" s="8"/>
      <c r="L84" s="8"/>
      <c r="M84" s="8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>
      <c r="D85" s="17">
        <v>23</v>
      </c>
      <c r="E85" s="22"/>
      <c r="F85" s="3"/>
      <c r="G85" s="23"/>
      <c r="H85" s="3"/>
      <c r="I85" s="8"/>
      <c r="J85" s="3"/>
      <c r="K85" s="8"/>
      <c r="L85" s="8"/>
      <c r="M85" s="8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>
      <c r="D86" s="5">
        <v>24</v>
      </c>
      <c r="E86" s="22"/>
      <c r="G86" s="23"/>
      <c r="I86" s="8"/>
      <c r="K86" s="8"/>
      <c r="L86" s="8"/>
      <c r="M86" s="8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40">
      <c r="D87" s="17">
        <v>25</v>
      </c>
      <c r="E87" s="22"/>
      <c r="F87" s="3"/>
      <c r="G87" s="23"/>
      <c r="H87" s="3"/>
      <c r="I87" s="8"/>
      <c r="J87" s="3"/>
      <c r="K87" s="8"/>
      <c r="L87" s="8"/>
      <c r="M87" s="8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40"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40" ht="15.75">
      <c r="A89" s="6" t="s">
        <v>46</v>
      </c>
      <c r="B89" s="1" t="s">
        <v>47</v>
      </c>
      <c r="F89" s="24">
        <v>62</v>
      </c>
      <c r="G89" s="1" t="s">
        <v>48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40">
      <c r="B90"/>
      <c r="C90"/>
      <c r="D90"/>
      <c r="E90" s="17" t="s">
        <v>40</v>
      </c>
      <c r="F90" s="25"/>
      <c r="G90" s="17" t="s">
        <v>41</v>
      </c>
      <c r="H90" s="25"/>
      <c r="I90" s="17" t="s">
        <v>42</v>
      </c>
      <c r="J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40">
      <c r="B91"/>
      <c r="C91"/>
      <c r="D91"/>
      <c r="E91" s="22" t="s">
        <v>43</v>
      </c>
      <c r="G91" s="23" t="s">
        <v>49</v>
      </c>
      <c r="I91" s="8" t="s">
        <v>50</v>
      </c>
      <c r="J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40"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40" ht="15.75">
      <c r="A93" s="6" t="s">
        <v>51</v>
      </c>
      <c r="B93" s="1" t="s">
        <v>52</v>
      </c>
      <c r="H93" s="26">
        <v>0.1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40"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40" ht="15.75">
      <c r="A95" s="6" t="s">
        <v>53</v>
      </c>
      <c r="B95" s="6"/>
      <c r="C95" s="6"/>
      <c r="D95" s="6"/>
      <c r="E95" s="27"/>
      <c r="F95" s="27"/>
      <c r="G95" s="27"/>
      <c r="H95" s="27"/>
      <c r="I95" s="28"/>
      <c r="J95" s="28"/>
      <c r="K95" s="28"/>
      <c r="L95" s="28"/>
      <c r="M95" s="28"/>
      <c r="N95" s="28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40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ht="15.75">
      <c r="A97" s="29" t="s">
        <v>54</v>
      </c>
      <c r="B97" s="30">
        <f>F89</f>
        <v>62</v>
      </c>
      <c r="C97" s="3" t="s">
        <v>55</v>
      </c>
      <c r="D97" s="3" t="s">
        <v>56</v>
      </c>
      <c r="E97" s="3"/>
      <c r="F97" s="3"/>
      <c r="G97" s="3"/>
      <c r="H97" s="3"/>
      <c r="I97" s="3"/>
      <c r="J97" s="83">
        <f ca="1">I269</f>
        <v>3615.4688819503517</v>
      </c>
      <c r="K97" s="83"/>
      <c r="L97" s="3"/>
      <c r="M97" s="3"/>
      <c r="N97" s="3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ht="15.75">
      <c r="A98" s="31"/>
      <c r="B98" s="31"/>
      <c r="C98" s="31"/>
      <c r="D98" s="3" t="s">
        <v>57</v>
      </c>
      <c r="E98" s="3"/>
      <c r="F98" s="3"/>
      <c r="G98" s="3"/>
      <c r="H98" s="3"/>
      <c r="I98" s="3"/>
      <c r="J98" s="83">
        <f ca="1">I270</f>
        <v>35.398057753566931</v>
      </c>
      <c r="K98" s="83"/>
      <c r="L98" s="3"/>
      <c r="M98" s="3"/>
      <c r="N98" s="3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ht="15.75">
      <c r="A99" s="31"/>
      <c r="B99" s="31"/>
      <c r="C99" s="31"/>
      <c r="D99" s="3" t="s">
        <v>58</v>
      </c>
      <c r="E99" s="3"/>
      <c r="F99" s="3"/>
      <c r="G99" s="3"/>
      <c r="H99" s="3"/>
      <c r="I99" s="3"/>
      <c r="J99" s="83">
        <f ca="1">I271</f>
        <v>15.228965287500001</v>
      </c>
      <c r="K99" s="83"/>
      <c r="L99" s="3"/>
      <c r="M99" s="3"/>
      <c r="N99" s="3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ht="15.75">
      <c r="A100" s="31"/>
      <c r="B100" s="31"/>
      <c r="C100" s="31"/>
      <c r="D100" s="3" t="s">
        <v>59</v>
      </c>
      <c r="E100" s="3"/>
      <c r="F100" s="3"/>
      <c r="G100" s="3"/>
      <c r="H100" s="3"/>
      <c r="I100" s="3"/>
      <c r="J100" s="83">
        <f ca="1">S346</f>
        <v>0</v>
      </c>
      <c r="K100" s="83">
        <f ca="1">S346</f>
        <v>0</v>
      </c>
      <c r="L100" s="3"/>
      <c r="M100" s="3"/>
      <c r="N100" s="3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ht="15.75">
      <c r="A101" s="31"/>
      <c r="B101" s="31"/>
      <c r="C101" s="31"/>
      <c r="D101" s="3" t="s">
        <v>60</v>
      </c>
      <c r="E101" s="3"/>
      <c r="F101" s="3"/>
      <c r="G101" s="3"/>
      <c r="H101" s="3"/>
      <c r="I101" s="3"/>
      <c r="J101" s="83">
        <f>S353</f>
        <v>8.4968999999999983</v>
      </c>
      <c r="K101" s="83"/>
      <c r="L101" s="3"/>
      <c r="M101" s="3"/>
      <c r="N101" s="3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ht="15.75">
      <c r="A102" s="31"/>
      <c r="B102" s="31"/>
      <c r="C102" s="31"/>
      <c r="D102" s="3"/>
      <c r="E102" s="3"/>
      <c r="F102" s="31"/>
      <c r="G102" s="3" t="s">
        <v>61</v>
      </c>
      <c r="H102" s="3"/>
      <c r="I102" s="80">
        <f ca="1">SUM(J97:J101)</f>
        <v>3674.5928049914187</v>
      </c>
      <c r="J102" s="80"/>
      <c r="K102" s="81" t="s">
        <v>62</v>
      </c>
      <c r="L102" s="81"/>
      <c r="M102" s="3"/>
      <c r="N102" s="3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>
      <c r="A103" s="31"/>
      <c r="B103" s="31"/>
      <c r="C103" s="3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>
      <c r="A104" s="31"/>
      <c r="B104" s="31"/>
      <c r="C104" s="3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ht="15.75">
      <c r="A105" s="31"/>
      <c r="B105" s="31"/>
      <c r="C105" s="31"/>
      <c r="D105" s="3" t="s">
        <v>63</v>
      </c>
      <c r="E105" s="3"/>
      <c r="F105" s="3"/>
      <c r="G105" s="3"/>
      <c r="H105" s="3"/>
      <c r="I105" s="80">
        <f ca="1">I262</f>
        <v>2201.774346861851</v>
      </c>
      <c r="J105" s="80"/>
      <c r="K105" s="81" t="s">
        <v>62</v>
      </c>
      <c r="L105" s="81"/>
      <c r="M105" s="3"/>
      <c r="N105" s="3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ht="15.75">
      <c r="A107" s="6" t="s">
        <v>64</v>
      </c>
      <c r="B107" s="3"/>
      <c r="C107" s="80">
        <f ca="1">I102-I105</f>
        <v>1472.8184581295677</v>
      </c>
      <c r="D107" s="80"/>
      <c r="E107" s="14" t="s">
        <v>65</v>
      </c>
      <c r="F107" s="32">
        <f ca="1">-C107/I102</f>
        <v>-0.40081133782468376</v>
      </c>
      <c r="G107" s="6"/>
      <c r="H107" s="6"/>
      <c r="I107" s="6"/>
      <c r="J107" s="3"/>
      <c r="K107" s="3"/>
      <c r="L107" s="3"/>
      <c r="M107" s="3"/>
      <c r="N107" s="3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ht="15.75">
      <c r="A108" s="6" t="s">
        <v>66</v>
      </c>
      <c r="B108" s="3"/>
      <c r="C108" s="3"/>
      <c r="D108" s="3"/>
      <c r="E108" s="31"/>
      <c r="F108" s="31"/>
      <c r="G108" s="31"/>
      <c r="H108" s="21">
        <f ca="1">ROUNDUP((1+F107)*12,1)</f>
        <v>7.1999999999999993</v>
      </c>
      <c r="I108" s="6" t="s">
        <v>3</v>
      </c>
      <c r="J108" s="33" t="s">
        <v>67</v>
      </c>
      <c r="K108" s="31"/>
      <c r="L108" s="21">
        <f ca="1">12-H108</f>
        <v>4.8000000000000007</v>
      </c>
      <c r="M108" s="6" t="s">
        <v>68</v>
      </c>
      <c r="N108" s="31"/>
      <c r="O108"/>
      <c r="P108"/>
      <c r="Q108"/>
      <c r="R108"/>
      <c r="S108"/>
      <c r="T108"/>
      <c r="U108"/>
      <c r="V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ht="15.75">
      <c r="A109" s="6" t="s">
        <v>69</v>
      </c>
      <c r="B109" s="6"/>
      <c r="C109" s="6"/>
      <c r="D109" s="6"/>
      <c r="E109" s="34"/>
      <c r="F109" s="21">
        <f ca="1">I274</f>
        <v>6</v>
      </c>
      <c r="G109" s="21" t="str">
        <f ca="1">J274</f>
        <v>août</v>
      </c>
      <c r="H109" s="6" t="s">
        <v>70</v>
      </c>
      <c r="I109" s="6"/>
      <c r="J109" s="3"/>
      <c r="K109" s="3"/>
      <c r="L109" s="3"/>
      <c r="M109" s="3"/>
      <c r="N109" s="3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2:38">
      <c r="C113" s="5"/>
      <c r="E113" s="75"/>
      <c r="F113" s="5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2:38">
      <c r="E114" s="75"/>
      <c r="F114" s="5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2:38">
      <c r="E115" s="75"/>
      <c r="F115" s="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2:38">
      <c r="F116" s="5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2:38">
      <c r="B117" s="75"/>
      <c r="C117" s="5"/>
      <c r="E117" s="75"/>
      <c r="F117" s="5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2:38">
      <c r="E118" s="75"/>
      <c r="F118" s="5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2:38">
      <c r="E119" s="75"/>
      <c r="F119" s="5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2:38"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2:38"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2:38"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2:38"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2:38"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2:38"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2:38"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2:38"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2:38"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24:38"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24:38"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24:38"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24:38"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24:38"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24:38"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24:38"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24:38"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24:38"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24:38"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24:38"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24:38"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24:38"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24:38"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24:38"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24:38"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>
      <c r="A151" s="35">
        <v>1</v>
      </c>
      <c r="B151" s="36">
        <v>1</v>
      </c>
      <c r="C151" s="37">
        <v>1963</v>
      </c>
      <c r="D151" s="38">
        <v>1983</v>
      </c>
      <c r="E151" s="39" t="s">
        <v>71</v>
      </c>
      <c r="F151" s="39">
        <v>1000</v>
      </c>
      <c r="G151" s="37">
        <v>62</v>
      </c>
      <c r="H151" s="40">
        <v>1</v>
      </c>
      <c r="I151" s="40">
        <v>1</v>
      </c>
      <c r="J151" s="41" t="s">
        <v>72</v>
      </c>
      <c r="K151" s="41"/>
      <c r="L151" s="42">
        <v>62</v>
      </c>
      <c r="M151" s="43">
        <v>1</v>
      </c>
      <c r="N151" s="44" t="s">
        <v>12</v>
      </c>
      <c r="O151" s="43">
        <v>1</v>
      </c>
      <c r="P151" s="42" t="s">
        <v>73</v>
      </c>
      <c r="Q151" s="43"/>
      <c r="R151" s="42">
        <v>100</v>
      </c>
      <c r="S151" s="42" t="s">
        <v>74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>
      <c r="A152" s="35">
        <v>2</v>
      </c>
      <c r="B152" s="36">
        <v>2</v>
      </c>
      <c r="C152" s="37">
        <v>1964</v>
      </c>
      <c r="D152" s="38">
        <v>1984</v>
      </c>
      <c r="E152" s="39" t="s">
        <v>75</v>
      </c>
      <c r="F152" s="39">
        <v>1000</v>
      </c>
      <c r="G152" s="37">
        <v>63</v>
      </c>
      <c r="H152" s="40">
        <v>2</v>
      </c>
      <c r="I152" s="40">
        <v>2</v>
      </c>
      <c r="J152" s="41">
        <v>1956</v>
      </c>
      <c r="K152" s="41">
        <v>166</v>
      </c>
      <c r="L152" s="42">
        <v>63</v>
      </c>
      <c r="M152" s="43">
        <v>1.04</v>
      </c>
      <c r="N152" s="44" t="s">
        <v>13</v>
      </c>
      <c r="O152" s="43">
        <v>2</v>
      </c>
      <c r="P152" s="42" t="s">
        <v>76</v>
      </c>
      <c r="Q152" s="42" t="s">
        <v>44</v>
      </c>
      <c r="R152" s="42">
        <v>100</v>
      </c>
      <c r="S152" s="42" t="s">
        <v>8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>
      <c r="A153" s="35">
        <v>3</v>
      </c>
      <c r="B153" s="36">
        <v>3</v>
      </c>
      <c r="C153" s="37">
        <v>1965</v>
      </c>
      <c r="D153" s="38">
        <v>1985</v>
      </c>
      <c r="E153" s="39" t="s">
        <v>77</v>
      </c>
      <c r="F153" s="39">
        <v>1000</v>
      </c>
      <c r="G153" s="37">
        <v>64</v>
      </c>
      <c r="H153" s="40">
        <v>3</v>
      </c>
      <c r="I153" s="40">
        <v>3</v>
      </c>
      <c r="J153" s="41">
        <v>1957</v>
      </c>
      <c r="K153" s="41">
        <v>166</v>
      </c>
      <c r="L153" s="42">
        <v>64</v>
      </c>
      <c r="M153" s="43">
        <v>1.08</v>
      </c>
      <c r="N153" s="1" t="s">
        <v>78</v>
      </c>
      <c r="O153" s="43">
        <v>3</v>
      </c>
      <c r="P153" s="42" t="s">
        <v>79</v>
      </c>
      <c r="Q153" s="42" t="s">
        <v>45</v>
      </c>
      <c r="R153" s="42">
        <v>200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>
      <c r="A154" s="35">
        <v>4</v>
      </c>
      <c r="B154" s="36">
        <v>4</v>
      </c>
      <c r="C154" s="37">
        <v>1966</v>
      </c>
      <c r="D154" s="38">
        <v>1986</v>
      </c>
      <c r="E154" s="39" t="s">
        <v>80</v>
      </c>
      <c r="F154" s="39">
        <v>1000</v>
      </c>
      <c r="G154" s="37">
        <v>65</v>
      </c>
      <c r="H154" s="40">
        <v>4</v>
      </c>
      <c r="I154" s="40">
        <v>4</v>
      </c>
      <c r="J154" s="41">
        <v>1958</v>
      </c>
      <c r="K154" s="41">
        <v>167</v>
      </c>
      <c r="L154" s="42">
        <v>65</v>
      </c>
      <c r="M154" s="43">
        <v>1.1200000000000001</v>
      </c>
      <c r="N154"/>
      <c r="O154" s="43">
        <v>4</v>
      </c>
      <c r="P154" s="42" t="s">
        <v>81</v>
      </c>
      <c r="Q154" s="42" t="s">
        <v>49</v>
      </c>
      <c r="R154" s="42">
        <v>500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>
      <c r="A155" s="35">
        <v>5</v>
      </c>
      <c r="B155" s="36">
        <v>5</v>
      </c>
      <c r="C155" s="37">
        <v>1967</v>
      </c>
      <c r="D155" s="38">
        <v>1987</v>
      </c>
      <c r="E155" s="39" t="s">
        <v>82</v>
      </c>
      <c r="F155" s="39">
        <v>1000</v>
      </c>
      <c r="G155" s="37">
        <v>66</v>
      </c>
      <c r="H155" s="40">
        <v>5</v>
      </c>
      <c r="I155" s="40">
        <v>5</v>
      </c>
      <c r="J155" s="41">
        <v>1959</v>
      </c>
      <c r="K155" s="41">
        <v>167</v>
      </c>
      <c r="L155" s="42">
        <v>66</v>
      </c>
      <c r="M155" s="43">
        <v>1.17</v>
      </c>
      <c r="N155"/>
      <c r="O155" s="43">
        <v>5</v>
      </c>
      <c r="P155" s="42" t="s">
        <v>83</v>
      </c>
      <c r="Q155" s="42" t="s">
        <v>84</v>
      </c>
      <c r="R155" s="42">
        <v>300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>
      <c r="A156" s="35">
        <v>6</v>
      </c>
      <c r="B156" s="36">
        <v>6</v>
      </c>
      <c r="C156" s="37">
        <v>1968</v>
      </c>
      <c r="D156" s="38">
        <v>1988</v>
      </c>
      <c r="E156" s="42" t="s">
        <v>85</v>
      </c>
      <c r="F156" s="42">
        <v>1000</v>
      </c>
      <c r="G156" s="37">
        <v>67</v>
      </c>
      <c r="H156" s="40">
        <v>6</v>
      </c>
      <c r="I156" s="40">
        <v>6</v>
      </c>
      <c r="J156" s="41">
        <v>1960</v>
      </c>
      <c r="K156" s="41">
        <v>167</v>
      </c>
      <c r="L156" s="42">
        <v>67</v>
      </c>
      <c r="M156" s="43">
        <v>1.22</v>
      </c>
      <c r="N156"/>
      <c r="O156" s="43">
        <v>6</v>
      </c>
      <c r="P156" s="42" t="s">
        <v>86</v>
      </c>
      <c r="Q156" s="42" t="s">
        <v>87</v>
      </c>
      <c r="R156" s="42">
        <v>400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>
      <c r="A157" s="35">
        <v>7</v>
      </c>
      <c r="B157" s="36">
        <v>7</v>
      </c>
      <c r="C157" s="37">
        <v>1969</v>
      </c>
      <c r="D157" s="38">
        <v>1989</v>
      </c>
      <c r="E157" s="42" t="s">
        <v>88</v>
      </c>
      <c r="F157" s="42">
        <v>2000</v>
      </c>
      <c r="G157" s="37">
        <v>68</v>
      </c>
      <c r="H157" s="40">
        <v>7</v>
      </c>
      <c r="I157" s="40">
        <v>7</v>
      </c>
      <c r="J157" s="41">
        <v>1961</v>
      </c>
      <c r="K157" s="41">
        <v>168</v>
      </c>
      <c r="L157" s="42">
        <v>68</v>
      </c>
      <c r="M157" s="43">
        <v>1.28</v>
      </c>
      <c r="O157" s="43">
        <v>7</v>
      </c>
      <c r="P157" s="42" t="s">
        <v>89</v>
      </c>
      <c r="Q157" s="42" t="s">
        <v>90</v>
      </c>
      <c r="R157" s="42">
        <v>600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>
      <c r="A158" s="35">
        <v>8</v>
      </c>
      <c r="B158" s="36">
        <v>8</v>
      </c>
      <c r="C158" s="37">
        <v>1970</v>
      </c>
      <c r="D158" s="38">
        <v>1990</v>
      </c>
      <c r="E158" s="42" t="s">
        <v>43</v>
      </c>
      <c r="F158" s="42">
        <v>3000</v>
      </c>
      <c r="G158" s="37">
        <v>69</v>
      </c>
      <c r="H158" s="40">
        <v>8</v>
      </c>
      <c r="I158" s="40">
        <v>8</v>
      </c>
      <c r="J158" s="41">
        <v>1962</v>
      </c>
      <c r="K158" s="41">
        <v>168</v>
      </c>
      <c r="L158" s="42">
        <v>69</v>
      </c>
      <c r="M158" s="43">
        <v>1.33</v>
      </c>
      <c r="O158" s="43">
        <v>8</v>
      </c>
      <c r="P158" s="42" t="s">
        <v>91</v>
      </c>
      <c r="Q158" s="43" t="s">
        <v>92</v>
      </c>
      <c r="R158" s="42">
        <v>700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>
      <c r="A159" s="35">
        <v>9</v>
      </c>
      <c r="B159" s="36">
        <v>9</v>
      </c>
      <c r="C159" s="37">
        <v>1971</v>
      </c>
      <c r="D159" s="38">
        <v>1991</v>
      </c>
      <c r="E159" s="42" t="s">
        <v>93</v>
      </c>
      <c r="F159" s="42">
        <v>4000</v>
      </c>
      <c r="G159" t="s">
        <v>94</v>
      </c>
      <c r="H159" s="40">
        <v>9</v>
      </c>
      <c r="I159" s="40">
        <v>9</v>
      </c>
      <c r="J159" s="41">
        <v>1963</v>
      </c>
      <c r="K159" s="41">
        <v>168</v>
      </c>
      <c r="L159" s="42">
        <v>70</v>
      </c>
      <c r="M159" s="43">
        <v>1.4</v>
      </c>
      <c r="O159" s="43">
        <v>9</v>
      </c>
      <c r="P159" s="42" t="s">
        <v>95</v>
      </c>
      <c r="Q159" s="43" t="s">
        <v>96</v>
      </c>
      <c r="R159" s="42">
        <v>800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>
      <c r="A160" s="35">
        <v>10</v>
      </c>
      <c r="B160" s="36">
        <v>10</v>
      </c>
      <c r="C160" s="37">
        <v>1972</v>
      </c>
      <c r="D160" s="38">
        <v>1992</v>
      </c>
      <c r="E160" s="42" t="s">
        <v>97</v>
      </c>
      <c r="F160" s="42">
        <v>5000</v>
      </c>
      <c r="H160" s="40">
        <v>10</v>
      </c>
      <c r="I160" s="40">
        <v>10</v>
      </c>
      <c r="J160" s="41">
        <v>1964</v>
      </c>
      <c r="K160" s="41">
        <v>169</v>
      </c>
      <c r="L160" s="42">
        <v>71</v>
      </c>
      <c r="M160" s="43">
        <v>1.47</v>
      </c>
      <c r="O160" s="43">
        <v>10</v>
      </c>
      <c r="P160" s="42" t="s">
        <v>98</v>
      </c>
      <c r="Q160" s="43" t="s">
        <v>99</v>
      </c>
      <c r="R160" s="42">
        <v>900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>
      <c r="A161" s="35">
        <v>11</v>
      </c>
      <c r="B161" s="36">
        <v>11</v>
      </c>
      <c r="C161" s="37">
        <v>1973</v>
      </c>
      <c r="D161" s="38">
        <v>1993</v>
      </c>
      <c r="E161" s="42" t="s">
        <v>100</v>
      </c>
      <c r="F161" s="42">
        <v>6000</v>
      </c>
      <c r="H161" s="40">
        <v>11</v>
      </c>
      <c r="I161" s="40">
        <v>11</v>
      </c>
      <c r="J161" s="41">
        <v>1965</v>
      </c>
      <c r="K161" s="41">
        <v>169</v>
      </c>
      <c r="L161" s="42">
        <v>72</v>
      </c>
      <c r="M161" s="43">
        <v>1.54</v>
      </c>
      <c r="O161" s="43">
        <v>11</v>
      </c>
      <c r="P161" s="42" t="s">
        <v>101</v>
      </c>
      <c r="Q161" t="s">
        <v>230</v>
      </c>
      <c r="R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>
      <c r="A162" s="35">
        <v>12</v>
      </c>
      <c r="B162" s="36">
        <v>12</v>
      </c>
      <c r="C162" s="37">
        <v>1974</v>
      </c>
      <c r="D162" s="38">
        <v>1994</v>
      </c>
      <c r="E162" s="42" t="s">
        <v>102</v>
      </c>
      <c r="F162" s="42">
        <v>7000</v>
      </c>
      <c r="H162" s="40">
        <v>12</v>
      </c>
      <c r="I162" s="40">
        <v>12</v>
      </c>
      <c r="J162" s="41">
        <v>1966</v>
      </c>
      <c r="K162" s="41">
        <v>169</v>
      </c>
      <c r="L162" s="42">
        <v>73</v>
      </c>
      <c r="M162" s="43">
        <v>1.62</v>
      </c>
      <c r="O162" s="43">
        <v>12</v>
      </c>
      <c r="P162" s="42" t="s">
        <v>103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>
      <c r="A163" s="35">
        <v>13</v>
      </c>
      <c r="B163" t="s">
        <v>104</v>
      </c>
      <c r="C163" s="37">
        <v>1975</v>
      </c>
      <c r="D163" s="38">
        <v>1995</v>
      </c>
      <c r="E163" s="42" t="s">
        <v>105</v>
      </c>
      <c r="F163" s="42">
        <v>8000</v>
      </c>
      <c r="H163" s="40">
        <v>13</v>
      </c>
      <c r="I163" s="40">
        <v>13</v>
      </c>
      <c r="J163" s="41">
        <v>1967</v>
      </c>
      <c r="K163" s="41">
        <v>170</v>
      </c>
      <c r="L163" t="s">
        <v>106</v>
      </c>
      <c r="M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>
      <c r="A164" s="35">
        <v>14</v>
      </c>
      <c r="B164"/>
      <c r="C164" s="37">
        <v>1976</v>
      </c>
      <c r="D164" s="38">
        <v>1996</v>
      </c>
      <c r="E164" s="42" t="s">
        <v>107</v>
      </c>
      <c r="F164" s="42">
        <v>9000</v>
      </c>
      <c r="H164" s="40">
        <v>14</v>
      </c>
      <c r="I164" s="40">
        <v>14</v>
      </c>
      <c r="J164" s="41">
        <v>1968</v>
      </c>
      <c r="K164" s="41">
        <v>170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>
      <c r="A165" s="35">
        <v>15</v>
      </c>
      <c r="B165"/>
      <c r="C165" s="37">
        <v>1977</v>
      </c>
      <c r="D165" s="38">
        <v>1997</v>
      </c>
      <c r="E165" s="42" t="s">
        <v>108</v>
      </c>
      <c r="F165" s="42">
        <v>10000</v>
      </c>
      <c r="H165" s="40">
        <v>15</v>
      </c>
      <c r="I165" s="40">
        <v>15</v>
      </c>
      <c r="J165" s="41">
        <v>1969</v>
      </c>
      <c r="K165" s="41">
        <v>170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>
      <c r="A166" s="35">
        <v>16</v>
      </c>
      <c r="B166"/>
      <c r="C166" s="37">
        <v>1978</v>
      </c>
      <c r="D166" s="38">
        <v>1998</v>
      </c>
      <c r="E166" s="42" t="s">
        <v>109</v>
      </c>
      <c r="F166" s="42">
        <v>11000</v>
      </c>
      <c r="H166" s="40">
        <v>16</v>
      </c>
      <c r="I166" s="40">
        <v>16</v>
      </c>
      <c r="J166" s="41">
        <v>1970</v>
      </c>
      <c r="K166" s="41">
        <v>171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>
      <c r="A167" s="35">
        <v>17</v>
      </c>
      <c r="B167"/>
      <c r="C167" s="37">
        <v>1979</v>
      </c>
      <c r="D167" s="38">
        <v>1999</v>
      </c>
      <c r="E167" s="42" t="s">
        <v>110</v>
      </c>
      <c r="F167" s="42">
        <v>12000</v>
      </c>
      <c r="H167" s="40" t="s">
        <v>111</v>
      </c>
      <c r="I167" s="40">
        <v>17</v>
      </c>
      <c r="J167" s="41">
        <v>1971</v>
      </c>
      <c r="K167" s="41">
        <v>171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>
      <c r="A168" s="35">
        <v>18</v>
      </c>
      <c r="B168"/>
      <c r="C168" s="37">
        <v>1980</v>
      </c>
      <c r="D168" s="38">
        <v>2000</v>
      </c>
      <c r="E168" s="42" t="s">
        <v>112</v>
      </c>
      <c r="F168" s="42">
        <v>13000</v>
      </c>
      <c r="H168" s="40" t="s">
        <v>113</v>
      </c>
      <c r="I168" s="40">
        <v>18</v>
      </c>
      <c r="J168" s="41">
        <v>1972</v>
      </c>
      <c r="K168" s="41">
        <v>171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>
      <c r="A169" s="35">
        <v>19</v>
      </c>
      <c r="B169"/>
      <c r="C169" s="37">
        <v>1981</v>
      </c>
      <c r="D169" s="38">
        <v>2001</v>
      </c>
      <c r="E169" s="42" t="s">
        <v>114</v>
      </c>
      <c r="F169" s="42">
        <v>14000</v>
      </c>
      <c r="H169" s="40" t="s">
        <v>115</v>
      </c>
      <c r="I169" s="40">
        <v>19</v>
      </c>
      <c r="J169" s="41">
        <v>1973</v>
      </c>
      <c r="K169" s="41">
        <v>172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>
      <c r="A170" s="35">
        <v>20</v>
      </c>
      <c r="B170"/>
      <c r="C170" s="37">
        <v>1982</v>
      </c>
      <c r="D170" s="38">
        <v>2002</v>
      </c>
      <c r="E170" s="42" t="s">
        <v>116</v>
      </c>
      <c r="F170" s="42">
        <v>15000</v>
      </c>
      <c r="H170" s="40" t="s">
        <v>117</v>
      </c>
      <c r="I170" s="40">
        <v>20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>
      <c r="A171" s="35">
        <v>21</v>
      </c>
      <c r="B171"/>
      <c r="C171" s="37">
        <v>1983</v>
      </c>
      <c r="D171" s="38">
        <v>2003</v>
      </c>
      <c r="E171" s="42" t="s">
        <v>118</v>
      </c>
      <c r="F171" s="42">
        <v>16000</v>
      </c>
      <c r="H171" s="40" t="s">
        <v>119</v>
      </c>
      <c r="I171" s="40">
        <v>21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>
      <c r="A172" s="35">
        <v>22</v>
      </c>
      <c r="B172"/>
      <c r="C172" s="37">
        <v>1984</v>
      </c>
      <c r="D172" s="38">
        <v>2004</v>
      </c>
      <c r="E172" s="42" t="s">
        <v>120</v>
      </c>
      <c r="F172" s="42">
        <v>17000</v>
      </c>
      <c r="H172" s="40" t="s">
        <v>50</v>
      </c>
      <c r="I172" s="40">
        <v>22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>
      <c r="A173" s="35">
        <v>23</v>
      </c>
      <c r="B173"/>
      <c r="C173" s="37">
        <v>1985</v>
      </c>
      <c r="D173" s="38">
        <v>2005</v>
      </c>
      <c r="E173" s="42" t="s">
        <v>121</v>
      </c>
      <c r="F173" s="42">
        <v>18000</v>
      </c>
      <c r="H173" s="40" t="s">
        <v>122</v>
      </c>
      <c r="I173" s="40">
        <v>23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>
      <c r="A174" s="35">
        <v>24</v>
      </c>
      <c r="B174"/>
      <c r="C174" s="37">
        <v>1986</v>
      </c>
      <c r="D174" s="38">
        <v>2006</v>
      </c>
      <c r="E174" s="42" t="s">
        <v>123</v>
      </c>
      <c r="F174" s="42">
        <v>19000</v>
      </c>
      <c r="H174" s="40" t="s">
        <v>124</v>
      </c>
      <c r="I174" s="40">
        <v>24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>
      <c r="A175" s="35">
        <v>25</v>
      </c>
      <c r="B175"/>
      <c r="C175" s="37">
        <v>1987</v>
      </c>
      <c r="D175" s="38">
        <v>2007</v>
      </c>
      <c r="E175" s="42" t="s">
        <v>125</v>
      </c>
      <c r="F175" s="42">
        <v>20000</v>
      </c>
      <c r="H175" s="40" t="s">
        <v>126</v>
      </c>
      <c r="I175" s="40">
        <v>25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>
      <c r="A176" s="35">
        <v>26</v>
      </c>
      <c r="B176"/>
      <c r="C176" s="37">
        <v>1988</v>
      </c>
      <c r="D176" s="38">
        <v>2008</v>
      </c>
      <c r="E176" s="42" t="s">
        <v>222</v>
      </c>
      <c r="F176" s="42">
        <v>21000</v>
      </c>
      <c r="H176" s="40" t="s">
        <v>127</v>
      </c>
      <c r="I176" s="40">
        <v>26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>
      <c r="A177" s="35">
        <v>27</v>
      </c>
      <c r="B177"/>
      <c r="C177" s="37">
        <v>1989</v>
      </c>
      <c r="D177" s="38">
        <v>2009</v>
      </c>
      <c r="E177" s="42" t="s">
        <v>223</v>
      </c>
      <c r="F177" s="42">
        <v>22000</v>
      </c>
      <c r="H177" s="40" t="s">
        <v>128</v>
      </c>
      <c r="I177" s="40">
        <v>27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>
      <c r="A178" s="35">
        <v>28</v>
      </c>
      <c r="B178"/>
      <c r="C178" s="37">
        <v>1990</v>
      </c>
      <c r="D178" s="38">
        <v>2010</v>
      </c>
      <c r="E178" s="42" t="s">
        <v>239</v>
      </c>
      <c r="F178" s="42">
        <v>23000</v>
      </c>
      <c r="H178" s="40" t="s">
        <v>129</v>
      </c>
      <c r="I178" s="40">
        <v>28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>
      <c r="A179" s="35">
        <v>29</v>
      </c>
      <c r="B179"/>
      <c r="C179" s="37">
        <v>1991</v>
      </c>
      <c r="D179" s="38">
        <v>2011</v>
      </c>
      <c r="E179" s="42" t="s">
        <v>241</v>
      </c>
      <c r="F179" s="42">
        <v>25000</v>
      </c>
      <c r="H179" s="40" t="s">
        <v>130</v>
      </c>
      <c r="I179" s="40">
        <v>29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>
      <c r="A180" s="35">
        <v>30</v>
      </c>
      <c r="B180"/>
      <c r="C180" s="37">
        <v>1992</v>
      </c>
      <c r="D180" s="38">
        <v>2012</v>
      </c>
      <c r="E180" s="42" t="s">
        <v>242</v>
      </c>
      <c r="F180" s="42">
        <v>24000</v>
      </c>
      <c r="H180" s="40" t="s">
        <v>131</v>
      </c>
      <c r="I180" s="40">
        <v>30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>
      <c r="A181" s="35">
        <v>31</v>
      </c>
      <c r="B181"/>
      <c r="C181" s="37">
        <v>1993</v>
      </c>
      <c r="D181" s="38">
        <v>2013</v>
      </c>
      <c r="E181" s="42" t="s">
        <v>243</v>
      </c>
      <c r="F181" s="42">
        <v>27000</v>
      </c>
      <c r="H181" t="s">
        <v>42</v>
      </c>
      <c r="I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>
      <c r="A182" t="s">
        <v>132</v>
      </c>
      <c r="B182"/>
      <c r="C182" s="37">
        <v>1994</v>
      </c>
      <c r="D182" s="38">
        <v>2014</v>
      </c>
      <c r="E182" s="42" t="s">
        <v>244</v>
      </c>
      <c r="F182" s="42">
        <v>26000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>
      <c r="A183"/>
      <c r="B183"/>
      <c r="C183" s="37">
        <v>1995</v>
      </c>
      <c r="D183" s="38">
        <v>2015</v>
      </c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>
      <c r="A184"/>
      <c r="B184"/>
      <c r="C184" s="37">
        <v>1996</v>
      </c>
      <c r="D184" s="38">
        <v>2016</v>
      </c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>
      <c r="A185"/>
      <c r="B185"/>
      <c r="C185" s="37">
        <v>1997</v>
      </c>
      <c r="D185" s="38">
        <v>2017</v>
      </c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>
      <c r="A186"/>
      <c r="B186"/>
      <c r="C186" s="37">
        <v>1998</v>
      </c>
      <c r="D186" s="38">
        <v>2018</v>
      </c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>
      <c r="A187"/>
      <c r="B187"/>
      <c r="C187" t="s">
        <v>133</v>
      </c>
      <c r="D187" t="s">
        <v>134</v>
      </c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>
      <c r="F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>
      <c r="B190" s="45"/>
      <c r="C190" s="45"/>
      <c r="D190" s="45"/>
      <c r="E190" s="46" t="s">
        <v>135</v>
      </c>
      <c r="F190" s="47">
        <f t="shared" ref="F190:K192" si="0">F8</f>
        <v>34681</v>
      </c>
      <c r="G190" s="47">
        <f t="shared" si="0"/>
        <v>35067</v>
      </c>
      <c r="H190" s="47">
        <f t="shared" si="0"/>
        <v>0</v>
      </c>
      <c r="I190" s="47">
        <f t="shared" si="0"/>
        <v>0</v>
      </c>
      <c r="J190" s="47">
        <f t="shared" si="0"/>
        <v>0</v>
      </c>
      <c r="K190" s="47">
        <f t="shared" si="0"/>
        <v>0</v>
      </c>
      <c r="L190" s="45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>
      <c r="B191" s="45"/>
      <c r="C191" s="45"/>
      <c r="D191" s="45"/>
      <c r="E191" s="45"/>
      <c r="F191" s="41" t="str">
        <f t="shared" si="0"/>
        <v>OUI</v>
      </c>
      <c r="G191" s="41" t="str">
        <f t="shared" si="0"/>
        <v>OUI</v>
      </c>
      <c r="H191" s="41">
        <f t="shared" si="0"/>
        <v>0</v>
      </c>
      <c r="I191" s="41">
        <f t="shared" si="0"/>
        <v>0</v>
      </c>
      <c r="J191" s="41">
        <f t="shared" si="0"/>
        <v>0</v>
      </c>
      <c r="K191" s="41">
        <f t="shared" si="0"/>
        <v>0</v>
      </c>
      <c r="L191" s="45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>
      <c r="B192" s="45"/>
      <c r="C192" s="45"/>
      <c r="D192" s="45"/>
      <c r="E192" s="45"/>
      <c r="F192" s="41" t="str">
        <f t="shared" si="0"/>
        <v>OUI</v>
      </c>
      <c r="G192" s="41" t="str">
        <f t="shared" si="0"/>
        <v>OUI</v>
      </c>
      <c r="H192" s="41">
        <f t="shared" si="0"/>
        <v>0</v>
      </c>
      <c r="I192" s="41">
        <f t="shared" si="0"/>
        <v>0</v>
      </c>
      <c r="J192" s="41">
        <f t="shared" si="0"/>
        <v>0</v>
      </c>
      <c r="K192" s="41">
        <f t="shared" si="0"/>
        <v>0</v>
      </c>
      <c r="L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2:38">
      <c r="B193" s="45"/>
      <c r="C193" s="45"/>
      <c r="D193" s="45"/>
      <c r="E193" s="45"/>
      <c r="F193">
        <f t="shared" ref="F193:K193" si="1">IF(OR(F190=$E$194,ISBLANK(F190)),0,1)</f>
        <v>1</v>
      </c>
      <c r="G193">
        <f t="shared" si="1"/>
        <v>1</v>
      </c>
      <c r="H193">
        <f t="shared" si="1"/>
        <v>0</v>
      </c>
      <c r="I193">
        <f t="shared" si="1"/>
        <v>0</v>
      </c>
      <c r="J193">
        <f t="shared" si="1"/>
        <v>0</v>
      </c>
      <c r="K193">
        <f t="shared" si="1"/>
        <v>0</v>
      </c>
      <c r="L193" s="48">
        <f>SUM(F193:K193)</f>
        <v>2</v>
      </c>
      <c r="M193" t="s">
        <v>136</v>
      </c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2:38">
      <c r="B194" s="45"/>
      <c r="C194" s="45"/>
      <c r="D194" s="45"/>
      <c r="E194" s="49">
        <v>0</v>
      </c>
      <c r="F194" s="45">
        <f t="shared" ref="F194:K194" si="2">IF(F193=0,0,IF(F191="NON",0,1))</f>
        <v>1</v>
      </c>
      <c r="G194" s="45">
        <f t="shared" si="2"/>
        <v>1</v>
      </c>
      <c r="H194" s="45">
        <f t="shared" si="2"/>
        <v>0</v>
      </c>
      <c r="I194" s="45">
        <f t="shared" si="2"/>
        <v>0</v>
      </c>
      <c r="J194" s="45">
        <f t="shared" si="2"/>
        <v>0</v>
      </c>
      <c r="K194" s="45">
        <f t="shared" si="2"/>
        <v>0</v>
      </c>
      <c r="L194" s="48">
        <f>SUM(F194:K194)</f>
        <v>2</v>
      </c>
      <c r="M194" t="s">
        <v>137</v>
      </c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2:38">
      <c r="B195" s="45"/>
      <c r="C195" s="45"/>
      <c r="D195" s="45"/>
      <c r="E195" s="49"/>
      <c r="F195" s="45">
        <f t="shared" ref="F195:K195" si="3">IF(F193=0,0,IF(F192="NON",0,1))</f>
        <v>1</v>
      </c>
      <c r="G195" s="45">
        <f t="shared" si="3"/>
        <v>1</v>
      </c>
      <c r="H195" s="45">
        <f t="shared" si="3"/>
        <v>0</v>
      </c>
      <c r="I195" s="45">
        <f t="shared" si="3"/>
        <v>0</v>
      </c>
      <c r="J195" s="45">
        <f t="shared" si="3"/>
        <v>0</v>
      </c>
      <c r="K195" s="45">
        <f t="shared" si="3"/>
        <v>0</v>
      </c>
      <c r="L195" s="48">
        <f>SUM(F195:K195)</f>
        <v>2</v>
      </c>
      <c r="M195" t="s">
        <v>138</v>
      </c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2:38">
      <c r="B196" s="45"/>
      <c r="C196" s="45"/>
      <c r="D196" s="45"/>
      <c r="E196" s="49"/>
      <c r="F196" s="45"/>
      <c r="G196" s="45"/>
      <c r="H196" s="45"/>
      <c r="I196" s="45"/>
      <c r="J196" s="45"/>
      <c r="K196" s="45"/>
      <c r="L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2:38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t="s">
        <v>139</v>
      </c>
      <c r="M197" s="48">
        <f>L193+L201</f>
        <v>3</v>
      </c>
      <c r="N197" t="s">
        <v>136</v>
      </c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2:38">
      <c r="B198" s="45"/>
      <c r="C198" s="45"/>
      <c r="D198" s="45"/>
      <c r="E198" s="45"/>
      <c r="F198" s="47">
        <f t="shared" ref="F198:K200" si="4">F13</f>
        <v>38119</v>
      </c>
      <c r="G198" s="47">
        <f t="shared" si="4"/>
        <v>0</v>
      </c>
      <c r="H198" s="47">
        <f t="shared" si="4"/>
        <v>0</v>
      </c>
      <c r="I198" s="47">
        <f t="shared" si="4"/>
        <v>0</v>
      </c>
      <c r="J198" s="47">
        <f t="shared" si="4"/>
        <v>0</v>
      </c>
      <c r="K198" s="47">
        <f t="shared" si="4"/>
        <v>0</v>
      </c>
      <c r="L198" s="45"/>
      <c r="M198" s="48">
        <f>L195+L203</f>
        <v>3</v>
      </c>
      <c r="N198" t="s">
        <v>138</v>
      </c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2:38">
      <c r="B199" s="45"/>
      <c r="C199" s="45"/>
      <c r="D199" s="45"/>
      <c r="E199" s="45"/>
      <c r="F199" s="41" t="str">
        <f t="shared" si="4"/>
        <v>OUI</v>
      </c>
      <c r="G199" s="41">
        <f t="shared" si="4"/>
        <v>0</v>
      </c>
      <c r="H199" s="41">
        <f t="shared" si="4"/>
        <v>0</v>
      </c>
      <c r="I199" s="41">
        <f t="shared" si="4"/>
        <v>0</v>
      </c>
      <c r="J199" s="41">
        <f t="shared" si="4"/>
        <v>0</v>
      </c>
      <c r="K199" s="41">
        <f t="shared" si="4"/>
        <v>0</v>
      </c>
      <c r="L199" s="45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2:38">
      <c r="B200" s="45"/>
      <c r="C200" s="45"/>
      <c r="D200" s="45"/>
      <c r="E200" s="45"/>
      <c r="F200" s="41" t="str">
        <f t="shared" si="4"/>
        <v>OUI</v>
      </c>
      <c r="G200" s="41">
        <f t="shared" si="4"/>
        <v>0</v>
      </c>
      <c r="H200" s="41">
        <f t="shared" si="4"/>
        <v>0</v>
      </c>
      <c r="I200" s="41">
        <f t="shared" si="4"/>
        <v>0</v>
      </c>
      <c r="J200" s="41">
        <f t="shared" si="4"/>
        <v>0</v>
      </c>
      <c r="K200" s="41">
        <f t="shared" si="4"/>
        <v>0</v>
      </c>
      <c r="L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2:38">
      <c r="B201" s="45"/>
      <c r="C201" s="45"/>
      <c r="D201" s="45"/>
      <c r="E201" s="45"/>
      <c r="F201">
        <f t="shared" ref="F201:K201" si="5">IF(OR(F198=$E$194,ISBLANK(F198)),0,1)</f>
        <v>1</v>
      </c>
      <c r="G201">
        <f t="shared" si="5"/>
        <v>0</v>
      </c>
      <c r="H201">
        <f t="shared" si="5"/>
        <v>0</v>
      </c>
      <c r="I201">
        <f t="shared" si="5"/>
        <v>0</v>
      </c>
      <c r="J201">
        <f t="shared" si="5"/>
        <v>0</v>
      </c>
      <c r="K201">
        <f t="shared" si="5"/>
        <v>0</v>
      </c>
      <c r="L201" s="48">
        <f>SUM(F201:K201)</f>
        <v>1</v>
      </c>
      <c r="M201" t="s">
        <v>136</v>
      </c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2:38">
      <c r="B202" s="45"/>
      <c r="C202" s="45"/>
      <c r="D202" s="45"/>
      <c r="E202" s="45"/>
      <c r="F202" s="50">
        <f t="shared" ref="F202:K202" si="6">IF($C$6="H",0,IF(F201=0,0,IF(F199="NON",0,IF(F198&gt;=$H$57,1,0))))</f>
        <v>1</v>
      </c>
      <c r="G202" s="50">
        <f t="shared" si="6"/>
        <v>0</v>
      </c>
      <c r="H202" s="50">
        <f t="shared" si="6"/>
        <v>0</v>
      </c>
      <c r="I202" s="50">
        <f t="shared" si="6"/>
        <v>0</v>
      </c>
      <c r="J202" s="50">
        <f t="shared" si="6"/>
        <v>0</v>
      </c>
      <c r="K202" s="50">
        <f t="shared" si="6"/>
        <v>0</v>
      </c>
      <c r="L202" s="48">
        <f>SUM(F202:K202)</f>
        <v>1</v>
      </c>
      <c r="M202" t="s">
        <v>140</v>
      </c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2:38">
      <c r="B203" s="45"/>
      <c r="C203" s="45"/>
      <c r="D203" s="45"/>
      <c r="E203" s="45"/>
      <c r="F203" s="45">
        <f t="shared" ref="F203:K203" si="7">IF(F201=0,0,IF(F200="NON",0,1))</f>
        <v>1</v>
      </c>
      <c r="G203" s="45">
        <f t="shared" si="7"/>
        <v>0</v>
      </c>
      <c r="H203" s="45">
        <f t="shared" si="7"/>
        <v>0</v>
      </c>
      <c r="I203" s="45">
        <f t="shared" si="7"/>
        <v>0</v>
      </c>
      <c r="J203" s="45">
        <f t="shared" si="7"/>
        <v>0</v>
      </c>
      <c r="K203" s="45">
        <f t="shared" si="7"/>
        <v>0</v>
      </c>
      <c r="L203" s="48">
        <f>SUM(F203:K203)</f>
        <v>1</v>
      </c>
      <c r="M203" t="s">
        <v>138</v>
      </c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2:38">
      <c r="B204" s="45"/>
      <c r="C204"/>
      <c r="D204"/>
      <c r="E204"/>
      <c r="F204" s="45"/>
      <c r="G204" s="45"/>
      <c r="H204" s="45"/>
      <c r="I204" s="45"/>
      <c r="J204" s="45"/>
      <c r="K204" s="45"/>
      <c r="L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2:38">
      <c r="B205" s="45"/>
      <c r="C205"/>
      <c r="D205"/>
      <c r="E205"/>
      <c r="F205" s="45"/>
      <c r="G205" s="45"/>
      <c r="H205" s="45"/>
      <c r="I205" s="45" t="s">
        <v>141</v>
      </c>
      <c r="J205" s="45"/>
      <c r="K205" s="51">
        <f>IF(M198&lt;3,0,0.1+(M198-3)*0.05)</f>
        <v>0.1</v>
      </c>
      <c r="L205" s="41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2:38">
      <c r="B206" s="45"/>
      <c r="C206"/>
      <c r="D206"/>
      <c r="E206"/>
      <c r="F206" s="45"/>
      <c r="G206" s="45"/>
      <c r="H206" s="45"/>
      <c r="I206" s="45" t="s">
        <v>142</v>
      </c>
      <c r="J206" s="45"/>
      <c r="K206" s="51">
        <f>M197*0.05+0.02*IF(M197&lt;3,0,1)</f>
        <v>0.17</v>
      </c>
      <c r="L206" s="41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2:38">
      <c r="B207" s="45"/>
      <c r="C207"/>
      <c r="D207"/>
      <c r="E207"/>
      <c r="F207" s="45"/>
      <c r="G207" s="45"/>
      <c r="H207" s="45"/>
      <c r="I207" s="45" t="s">
        <v>143</v>
      </c>
      <c r="J207" s="45"/>
      <c r="K207" s="39">
        <f>L194*4+L202*2</f>
        <v>10</v>
      </c>
      <c r="L207" s="41" t="s">
        <v>24</v>
      </c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2:38">
      <c r="C208"/>
      <c r="I208" s="45" t="s">
        <v>144</v>
      </c>
      <c r="J208" s="45"/>
      <c r="K208" s="39" t="s">
        <v>145</v>
      </c>
      <c r="L208" s="44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4" spans="1:38">
      <c r="A214" s="1" t="s">
        <v>146</v>
      </c>
    </row>
    <row r="215" spans="1:38">
      <c r="A215" s="42" t="s">
        <v>40</v>
      </c>
      <c r="B215" s="43" t="s">
        <v>41</v>
      </c>
      <c r="C215" s="43" t="s">
        <v>42</v>
      </c>
      <c r="D215" s="43" t="s">
        <v>147</v>
      </c>
      <c r="E215" s="42" t="s">
        <v>148</v>
      </c>
      <c r="F215" s="42" t="s">
        <v>149</v>
      </c>
      <c r="G215" s="42" t="s">
        <v>150</v>
      </c>
      <c r="H215" s="43" t="s">
        <v>151</v>
      </c>
      <c r="I215" s="43"/>
    </row>
    <row r="216" spans="1:38">
      <c r="A216" s="42">
        <f>IF(ISBLANK(E63),0,VLOOKUP(E63,$E$151:$F$182,2, ))</f>
        <v>3000</v>
      </c>
      <c r="B216" s="43">
        <f t="shared" ref="B216:B240" si="8">IF(ISBLANK(G63),IF(ISBLANK(E63),0,100),VLOOKUP(G63,$Q$151:$R$159,2, ))</f>
        <v>300</v>
      </c>
      <c r="C216" s="43">
        <f t="shared" ref="C216:C240" si="9">IF(ISBLANK(I63),0,VLOOKUP(I63,$H$151:$I$180,2, ))</f>
        <v>1</v>
      </c>
      <c r="D216" s="42">
        <f t="shared" ref="D216:D240" si="10">SUM(A216:C216)</f>
        <v>3301</v>
      </c>
      <c r="E216" s="42">
        <f>IF(D216=0,0,VLOOKUP(D216,$B$278:$G$897,6, ))</f>
        <v>468</v>
      </c>
      <c r="F216" s="52">
        <f t="shared" ref="F216:F240" si="11">E247</f>
        <v>1</v>
      </c>
      <c r="G216" s="42">
        <f t="shared" ref="G216:G240" si="12">E216*F216</f>
        <v>468</v>
      </c>
      <c r="H216" s="43">
        <f t="shared" ref="H216:H240" si="13">IF(AND(M63&lt;=2005,E216&gt;0),1,0)</f>
        <v>1</v>
      </c>
      <c r="I216" s="43">
        <f t="shared" ref="I216:I240" si="14">E216*F216*H216</f>
        <v>468</v>
      </c>
    </row>
    <row r="217" spans="1:38">
      <c r="A217" s="42">
        <f t="shared" ref="A217:A240" si="15">IF(ISBLANK(E64),0,VLOOKUP(E64,$E$151:$F$182,2, ))</f>
        <v>3000</v>
      </c>
      <c r="B217" s="43">
        <f t="shared" si="8"/>
        <v>300</v>
      </c>
      <c r="C217" s="43">
        <f t="shared" si="9"/>
        <v>2</v>
      </c>
      <c r="D217" s="42">
        <f t="shared" si="10"/>
        <v>3302</v>
      </c>
      <c r="E217" s="42">
        <f t="shared" ref="E217:E240" si="16">IF(D217=0,0,VLOOKUP(D217,$B$278:$G$897,6, ))</f>
        <v>525</v>
      </c>
      <c r="F217" s="52">
        <f t="shared" si="11"/>
        <v>2</v>
      </c>
      <c r="G217" s="42">
        <f t="shared" si="12"/>
        <v>1050</v>
      </c>
      <c r="H217" s="43">
        <f t="shared" si="13"/>
        <v>1</v>
      </c>
      <c r="I217" s="43">
        <f t="shared" si="14"/>
        <v>1050</v>
      </c>
    </row>
    <row r="218" spans="1:38">
      <c r="A218" s="42">
        <f t="shared" si="15"/>
        <v>3000</v>
      </c>
      <c r="B218" s="43">
        <f t="shared" si="8"/>
        <v>300</v>
      </c>
      <c r="C218" s="43">
        <f t="shared" si="9"/>
        <v>3</v>
      </c>
      <c r="D218" s="42">
        <f t="shared" si="10"/>
        <v>3303</v>
      </c>
      <c r="E218" s="42">
        <f t="shared" si="16"/>
        <v>578</v>
      </c>
      <c r="F218" s="52">
        <f t="shared" si="11"/>
        <v>3</v>
      </c>
      <c r="G218" s="42">
        <f t="shared" si="12"/>
        <v>1734</v>
      </c>
      <c r="H218" s="43">
        <f t="shared" si="13"/>
        <v>1</v>
      </c>
      <c r="I218" s="43">
        <f t="shared" si="14"/>
        <v>1734</v>
      </c>
    </row>
    <row r="219" spans="1:38">
      <c r="A219" s="42">
        <f t="shared" si="15"/>
        <v>3000</v>
      </c>
      <c r="B219" s="43">
        <f t="shared" si="8"/>
        <v>400</v>
      </c>
      <c r="C219" s="43">
        <f t="shared" si="9"/>
        <v>4</v>
      </c>
      <c r="D219" s="42">
        <f t="shared" si="10"/>
        <v>3404</v>
      </c>
      <c r="E219" s="42">
        <f t="shared" si="16"/>
        <v>637</v>
      </c>
      <c r="F219" s="52">
        <f t="shared" si="11"/>
        <v>2</v>
      </c>
      <c r="G219" s="42">
        <f t="shared" si="12"/>
        <v>1274</v>
      </c>
      <c r="H219" s="43">
        <f t="shared" si="13"/>
        <v>1</v>
      </c>
      <c r="I219" s="43">
        <f t="shared" si="14"/>
        <v>1274</v>
      </c>
    </row>
    <row r="220" spans="1:38">
      <c r="A220" s="42">
        <f t="shared" si="15"/>
        <v>3000</v>
      </c>
      <c r="B220" s="43">
        <f t="shared" si="8"/>
        <v>100</v>
      </c>
      <c r="C220" s="43">
        <f t="shared" si="9"/>
        <v>5</v>
      </c>
      <c r="D220" s="42">
        <f t="shared" si="10"/>
        <v>3105</v>
      </c>
      <c r="E220" s="42">
        <f t="shared" si="16"/>
        <v>687</v>
      </c>
      <c r="F220" s="52">
        <f t="shared" si="11"/>
        <v>3</v>
      </c>
      <c r="G220" s="42">
        <f t="shared" si="12"/>
        <v>2061</v>
      </c>
      <c r="H220" s="43">
        <f t="shared" si="13"/>
        <v>1</v>
      </c>
      <c r="I220" s="43">
        <f t="shared" si="14"/>
        <v>2061</v>
      </c>
    </row>
    <row r="221" spans="1:38">
      <c r="A221" s="42">
        <f t="shared" si="15"/>
        <v>3000</v>
      </c>
      <c r="B221" s="43">
        <f t="shared" si="8"/>
        <v>100</v>
      </c>
      <c r="C221" s="43">
        <f t="shared" si="9"/>
        <v>6</v>
      </c>
      <c r="D221" s="42">
        <f t="shared" si="10"/>
        <v>3106</v>
      </c>
      <c r="E221" s="42">
        <f t="shared" si="16"/>
        <v>733</v>
      </c>
      <c r="F221" s="52">
        <f t="shared" si="11"/>
        <v>3</v>
      </c>
      <c r="G221" s="42">
        <f t="shared" si="12"/>
        <v>2199</v>
      </c>
      <c r="H221" s="43">
        <f t="shared" si="13"/>
        <v>1</v>
      </c>
      <c r="I221" s="43">
        <f t="shared" si="14"/>
        <v>2199</v>
      </c>
    </row>
    <row r="222" spans="1:38">
      <c r="A222" s="42">
        <f t="shared" si="15"/>
        <v>3000</v>
      </c>
      <c r="B222" s="43">
        <f t="shared" si="8"/>
        <v>100</v>
      </c>
      <c r="C222" s="43">
        <f t="shared" si="9"/>
        <v>7</v>
      </c>
      <c r="D222" s="42">
        <f t="shared" si="10"/>
        <v>3107</v>
      </c>
      <c r="E222" s="42">
        <f t="shared" si="16"/>
        <v>763</v>
      </c>
      <c r="F222" s="52">
        <f t="shared" si="11"/>
        <v>1</v>
      </c>
      <c r="G222" s="42">
        <f t="shared" si="12"/>
        <v>763</v>
      </c>
      <c r="H222" s="43">
        <f t="shared" si="13"/>
        <v>0</v>
      </c>
      <c r="I222" s="43">
        <f t="shared" si="14"/>
        <v>0</v>
      </c>
    </row>
    <row r="223" spans="1:38">
      <c r="A223" s="42">
        <f t="shared" si="15"/>
        <v>3000</v>
      </c>
      <c r="B223" s="43">
        <f t="shared" si="8"/>
        <v>200</v>
      </c>
      <c r="C223" s="43">
        <f t="shared" si="9"/>
        <v>4</v>
      </c>
      <c r="D223" s="42">
        <f t="shared" si="10"/>
        <v>3204</v>
      </c>
      <c r="E223" s="42">
        <f t="shared" si="16"/>
        <v>790</v>
      </c>
      <c r="F223" s="52">
        <f t="shared" si="11"/>
        <v>2</v>
      </c>
      <c r="G223" s="42">
        <f t="shared" si="12"/>
        <v>1580</v>
      </c>
      <c r="H223" s="43">
        <f t="shared" si="13"/>
        <v>0</v>
      </c>
      <c r="I223" s="43">
        <f t="shared" si="14"/>
        <v>0</v>
      </c>
    </row>
    <row r="224" spans="1:38">
      <c r="A224" s="42">
        <f t="shared" si="15"/>
        <v>3000</v>
      </c>
      <c r="B224" s="43">
        <f t="shared" si="8"/>
        <v>200</v>
      </c>
      <c r="C224" s="43">
        <f t="shared" si="9"/>
        <v>5</v>
      </c>
      <c r="D224" s="42">
        <f t="shared" si="10"/>
        <v>3205</v>
      </c>
      <c r="E224" s="42">
        <f t="shared" si="16"/>
        <v>830</v>
      </c>
      <c r="F224" s="52">
        <f t="shared" si="11"/>
        <v>2</v>
      </c>
      <c r="G224" s="42">
        <f t="shared" si="12"/>
        <v>1660</v>
      </c>
      <c r="H224" s="43">
        <f t="shared" si="13"/>
        <v>0</v>
      </c>
      <c r="I224" s="43">
        <f t="shared" si="14"/>
        <v>0</v>
      </c>
    </row>
    <row r="225" spans="1:9">
      <c r="A225" s="42">
        <f t="shared" si="15"/>
        <v>3000</v>
      </c>
      <c r="B225" s="43">
        <f t="shared" si="8"/>
        <v>200</v>
      </c>
      <c r="C225" s="43">
        <f t="shared" si="9"/>
        <v>17</v>
      </c>
      <c r="D225" s="42">
        <f t="shared" si="10"/>
        <v>3217</v>
      </c>
      <c r="E225" s="42">
        <f t="shared" si="16"/>
        <v>890</v>
      </c>
      <c r="F225" s="52">
        <f t="shared" si="11"/>
        <v>1</v>
      </c>
      <c r="G225" s="42">
        <f t="shared" si="12"/>
        <v>890</v>
      </c>
      <c r="H225" s="43">
        <f t="shared" si="13"/>
        <v>0</v>
      </c>
      <c r="I225" s="43">
        <f t="shared" si="14"/>
        <v>0</v>
      </c>
    </row>
    <row r="226" spans="1:9">
      <c r="A226" s="42">
        <f t="shared" si="15"/>
        <v>3000</v>
      </c>
      <c r="B226" s="43">
        <f t="shared" si="8"/>
        <v>200</v>
      </c>
      <c r="C226" s="43">
        <f t="shared" si="9"/>
        <v>18</v>
      </c>
      <c r="D226" s="42">
        <f t="shared" si="10"/>
        <v>3218</v>
      </c>
      <c r="E226" s="42">
        <f t="shared" si="16"/>
        <v>925</v>
      </c>
      <c r="F226" s="52">
        <f t="shared" si="11"/>
        <v>1</v>
      </c>
      <c r="G226" s="42">
        <f t="shared" si="12"/>
        <v>925</v>
      </c>
      <c r="H226" s="43">
        <f t="shared" si="13"/>
        <v>0</v>
      </c>
      <c r="I226" s="43">
        <f t="shared" si="14"/>
        <v>0</v>
      </c>
    </row>
    <row r="227" spans="1:9">
      <c r="A227" s="42">
        <f t="shared" si="15"/>
        <v>3000</v>
      </c>
      <c r="B227" s="43">
        <f t="shared" si="8"/>
        <v>200</v>
      </c>
      <c r="C227" s="43">
        <f t="shared" si="9"/>
        <v>19</v>
      </c>
      <c r="D227" s="42">
        <f t="shared" si="10"/>
        <v>3219</v>
      </c>
      <c r="E227" s="42">
        <f t="shared" si="16"/>
        <v>972</v>
      </c>
      <c r="F227" s="52">
        <f t="shared" si="11"/>
        <v>4</v>
      </c>
      <c r="G227" s="42">
        <f t="shared" si="12"/>
        <v>3888</v>
      </c>
      <c r="H227" s="43">
        <f t="shared" si="13"/>
        <v>0</v>
      </c>
      <c r="I227" s="43">
        <f t="shared" si="14"/>
        <v>0</v>
      </c>
    </row>
    <row r="228" spans="1:9">
      <c r="A228" s="42">
        <f t="shared" si="15"/>
        <v>3000</v>
      </c>
      <c r="B228" s="43">
        <f t="shared" si="8"/>
        <v>500</v>
      </c>
      <c r="C228" s="43">
        <f t="shared" si="9"/>
        <v>20</v>
      </c>
      <c r="D228" s="42">
        <f t="shared" si="10"/>
        <v>3520</v>
      </c>
      <c r="E228" s="42">
        <f t="shared" si="16"/>
        <v>972</v>
      </c>
      <c r="F228" s="52">
        <f t="shared" si="11"/>
        <v>1</v>
      </c>
      <c r="G228" s="42">
        <f t="shared" si="12"/>
        <v>972</v>
      </c>
      <c r="H228" s="43">
        <f t="shared" si="13"/>
        <v>0</v>
      </c>
      <c r="I228" s="43">
        <f t="shared" si="14"/>
        <v>0</v>
      </c>
    </row>
    <row r="229" spans="1:9">
      <c r="A229" s="42">
        <f t="shared" si="15"/>
        <v>3000</v>
      </c>
      <c r="B229" s="43">
        <f t="shared" si="8"/>
        <v>500</v>
      </c>
      <c r="C229" s="43">
        <f t="shared" si="9"/>
        <v>21</v>
      </c>
      <c r="D229" s="42">
        <f t="shared" si="10"/>
        <v>3521</v>
      </c>
      <c r="E229" s="42">
        <f t="shared" si="16"/>
        <v>1013</v>
      </c>
      <c r="F229" s="52">
        <f t="shared" si="11"/>
        <v>1</v>
      </c>
      <c r="G229" s="42">
        <f t="shared" si="12"/>
        <v>1013</v>
      </c>
      <c r="H229" s="43">
        <f t="shared" si="13"/>
        <v>0</v>
      </c>
      <c r="I229" s="43">
        <f t="shared" si="14"/>
        <v>0</v>
      </c>
    </row>
    <row r="230" spans="1:9">
      <c r="A230" s="42">
        <f t="shared" si="15"/>
        <v>3000</v>
      </c>
      <c r="B230" s="43">
        <f t="shared" si="8"/>
        <v>500</v>
      </c>
      <c r="C230" s="43">
        <f t="shared" si="9"/>
        <v>22</v>
      </c>
      <c r="D230" s="42">
        <f t="shared" si="10"/>
        <v>3522</v>
      </c>
      <c r="E230" s="42">
        <f t="shared" si="16"/>
        <v>1067</v>
      </c>
      <c r="F230" s="52">
        <f t="shared" ca="1" si="11"/>
        <v>0.25</v>
      </c>
      <c r="G230" s="42">
        <f t="shared" ca="1" si="12"/>
        <v>266.75</v>
      </c>
      <c r="H230" s="43">
        <f t="shared" si="13"/>
        <v>0</v>
      </c>
      <c r="I230" s="43">
        <f t="shared" ca="1" si="14"/>
        <v>0</v>
      </c>
    </row>
    <row r="231" spans="1:9">
      <c r="A231" s="42">
        <f t="shared" si="15"/>
        <v>0</v>
      </c>
      <c r="B231" s="43">
        <f t="shared" si="8"/>
        <v>0</v>
      </c>
      <c r="C231" s="43">
        <f t="shared" si="9"/>
        <v>0</v>
      </c>
      <c r="D231" s="42">
        <f t="shared" si="10"/>
        <v>0</v>
      </c>
      <c r="E231" s="42">
        <f t="shared" si="16"/>
        <v>0</v>
      </c>
      <c r="F231" s="52">
        <f t="shared" si="11"/>
        <v>0</v>
      </c>
      <c r="G231" s="42">
        <f t="shared" si="12"/>
        <v>0</v>
      </c>
      <c r="H231" s="43">
        <f t="shared" si="13"/>
        <v>0</v>
      </c>
      <c r="I231" s="43">
        <f t="shared" si="14"/>
        <v>0</v>
      </c>
    </row>
    <row r="232" spans="1:9">
      <c r="A232" s="42">
        <f t="shared" si="15"/>
        <v>0</v>
      </c>
      <c r="B232" s="43">
        <f t="shared" si="8"/>
        <v>0</v>
      </c>
      <c r="C232" s="43">
        <f t="shared" si="9"/>
        <v>0</v>
      </c>
      <c r="D232" s="42">
        <f t="shared" si="10"/>
        <v>0</v>
      </c>
      <c r="E232" s="42">
        <f t="shared" si="16"/>
        <v>0</v>
      </c>
      <c r="F232" s="52">
        <f t="shared" si="11"/>
        <v>0</v>
      </c>
      <c r="G232" s="42">
        <f t="shared" si="12"/>
        <v>0</v>
      </c>
      <c r="H232" s="43">
        <f t="shared" si="13"/>
        <v>0</v>
      </c>
      <c r="I232" s="43">
        <f t="shared" si="14"/>
        <v>0</v>
      </c>
    </row>
    <row r="233" spans="1:9">
      <c r="A233" s="42">
        <f t="shared" si="15"/>
        <v>0</v>
      </c>
      <c r="B233" s="43">
        <f t="shared" si="8"/>
        <v>0</v>
      </c>
      <c r="C233" s="43">
        <f t="shared" si="9"/>
        <v>0</v>
      </c>
      <c r="D233" s="42">
        <f t="shared" si="10"/>
        <v>0</v>
      </c>
      <c r="E233" s="42">
        <f t="shared" si="16"/>
        <v>0</v>
      </c>
      <c r="F233" s="52">
        <f t="shared" si="11"/>
        <v>0</v>
      </c>
      <c r="G233" s="42">
        <f t="shared" si="12"/>
        <v>0</v>
      </c>
      <c r="H233" s="43">
        <f t="shared" si="13"/>
        <v>0</v>
      </c>
      <c r="I233" s="43">
        <f t="shared" si="14"/>
        <v>0</v>
      </c>
    </row>
    <row r="234" spans="1:9">
      <c r="A234" s="42">
        <f t="shared" si="15"/>
        <v>0</v>
      </c>
      <c r="B234" s="43">
        <f t="shared" si="8"/>
        <v>0</v>
      </c>
      <c r="C234" s="43">
        <f t="shared" si="9"/>
        <v>0</v>
      </c>
      <c r="D234" s="42">
        <f t="shared" si="10"/>
        <v>0</v>
      </c>
      <c r="E234" s="42">
        <f t="shared" si="16"/>
        <v>0</v>
      </c>
      <c r="F234" s="52">
        <f t="shared" si="11"/>
        <v>0</v>
      </c>
      <c r="G234" s="42">
        <f t="shared" si="12"/>
        <v>0</v>
      </c>
      <c r="H234" s="43">
        <f t="shared" si="13"/>
        <v>0</v>
      </c>
      <c r="I234" s="43">
        <f t="shared" si="14"/>
        <v>0</v>
      </c>
    </row>
    <row r="235" spans="1:9">
      <c r="A235" s="42">
        <f t="shared" si="15"/>
        <v>0</v>
      </c>
      <c r="B235" s="43">
        <f t="shared" si="8"/>
        <v>0</v>
      </c>
      <c r="C235" s="43">
        <f t="shared" si="9"/>
        <v>0</v>
      </c>
      <c r="D235" s="42">
        <f t="shared" si="10"/>
        <v>0</v>
      </c>
      <c r="E235" s="42">
        <f t="shared" si="16"/>
        <v>0</v>
      </c>
      <c r="F235" s="52">
        <f t="shared" si="11"/>
        <v>0</v>
      </c>
      <c r="G235" s="42">
        <f t="shared" si="12"/>
        <v>0</v>
      </c>
      <c r="H235" s="43">
        <f t="shared" si="13"/>
        <v>0</v>
      </c>
      <c r="I235" s="43">
        <f t="shared" si="14"/>
        <v>0</v>
      </c>
    </row>
    <row r="236" spans="1:9">
      <c r="A236" s="42">
        <f t="shared" si="15"/>
        <v>0</v>
      </c>
      <c r="B236" s="43">
        <f t="shared" si="8"/>
        <v>0</v>
      </c>
      <c r="C236" s="43">
        <f t="shared" si="9"/>
        <v>0</v>
      </c>
      <c r="D236" s="42">
        <f t="shared" si="10"/>
        <v>0</v>
      </c>
      <c r="E236" s="42">
        <f t="shared" si="16"/>
        <v>0</v>
      </c>
      <c r="F236" s="52">
        <f t="shared" si="11"/>
        <v>0</v>
      </c>
      <c r="G236" s="42">
        <f t="shared" si="12"/>
        <v>0</v>
      </c>
      <c r="H236" s="43">
        <f t="shared" si="13"/>
        <v>0</v>
      </c>
      <c r="I236" s="43">
        <f t="shared" si="14"/>
        <v>0</v>
      </c>
    </row>
    <row r="237" spans="1:9">
      <c r="A237" s="42">
        <f t="shared" si="15"/>
        <v>0</v>
      </c>
      <c r="B237" s="43">
        <f t="shared" si="8"/>
        <v>0</v>
      </c>
      <c r="C237" s="43">
        <f t="shared" si="9"/>
        <v>0</v>
      </c>
      <c r="D237" s="42">
        <f t="shared" si="10"/>
        <v>0</v>
      </c>
      <c r="E237" s="42">
        <f t="shared" si="16"/>
        <v>0</v>
      </c>
      <c r="F237" s="52">
        <f t="shared" si="11"/>
        <v>0</v>
      </c>
      <c r="G237" s="42">
        <f t="shared" si="12"/>
        <v>0</v>
      </c>
      <c r="H237" s="43">
        <f t="shared" si="13"/>
        <v>0</v>
      </c>
      <c r="I237" s="43">
        <f t="shared" si="14"/>
        <v>0</v>
      </c>
    </row>
    <row r="238" spans="1:9">
      <c r="A238" s="42">
        <f t="shared" si="15"/>
        <v>0</v>
      </c>
      <c r="B238" s="43">
        <f t="shared" si="8"/>
        <v>0</v>
      </c>
      <c r="C238" s="43">
        <f t="shared" si="9"/>
        <v>0</v>
      </c>
      <c r="D238" s="42">
        <f t="shared" si="10"/>
        <v>0</v>
      </c>
      <c r="E238" s="42">
        <f t="shared" si="16"/>
        <v>0</v>
      </c>
      <c r="F238" s="52">
        <f t="shared" si="11"/>
        <v>0</v>
      </c>
      <c r="G238" s="42">
        <f t="shared" si="12"/>
        <v>0</v>
      </c>
      <c r="H238" s="43">
        <f t="shared" si="13"/>
        <v>0</v>
      </c>
      <c r="I238" s="43">
        <f t="shared" si="14"/>
        <v>0</v>
      </c>
    </row>
    <row r="239" spans="1:9">
      <c r="A239" s="42">
        <f t="shared" si="15"/>
        <v>0</v>
      </c>
      <c r="B239" s="43">
        <f t="shared" si="8"/>
        <v>0</v>
      </c>
      <c r="C239" s="43">
        <f t="shared" si="9"/>
        <v>0</v>
      </c>
      <c r="D239" s="42">
        <f t="shared" si="10"/>
        <v>0</v>
      </c>
      <c r="E239" s="42">
        <f t="shared" si="16"/>
        <v>0</v>
      </c>
      <c r="F239" s="52">
        <f t="shared" si="11"/>
        <v>0</v>
      </c>
      <c r="G239" s="42">
        <f t="shared" si="12"/>
        <v>0</v>
      </c>
      <c r="H239" s="43">
        <f t="shared" si="13"/>
        <v>0</v>
      </c>
      <c r="I239" s="43">
        <f t="shared" si="14"/>
        <v>0</v>
      </c>
    </row>
    <row r="240" spans="1:9">
      <c r="A240" s="42">
        <f t="shared" si="15"/>
        <v>0</v>
      </c>
      <c r="B240" s="43">
        <f t="shared" si="8"/>
        <v>0</v>
      </c>
      <c r="C240" s="43">
        <f t="shared" si="9"/>
        <v>0</v>
      </c>
      <c r="D240" s="42">
        <f t="shared" si="10"/>
        <v>0</v>
      </c>
      <c r="E240" s="42">
        <f t="shared" si="16"/>
        <v>0</v>
      </c>
      <c r="F240" s="52">
        <f t="shared" si="11"/>
        <v>0</v>
      </c>
      <c r="G240" s="42">
        <f t="shared" si="12"/>
        <v>0</v>
      </c>
      <c r="H240" s="43">
        <f t="shared" si="13"/>
        <v>0</v>
      </c>
      <c r="I240" s="43">
        <f t="shared" si="14"/>
        <v>0</v>
      </c>
    </row>
    <row r="241" spans="1:15">
      <c r="A241"/>
      <c r="B241"/>
      <c r="C241"/>
      <c r="D241"/>
      <c r="E241" t="s">
        <v>152</v>
      </c>
      <c r="F241" s="53">
        <f ca="1">SUM(F216:F239)</f>
        <v>27.25</v>
      </c>
      <c r="G241" s="25">
        <f ca="1">ROUND(SUM(G216:G239),0)</f>
        <v>20744</v>
      </c>
      <c r="H241"/>
      <c r="I241" s="25">
        <f ca="1">ROUND(SUM(I216:I239),0)</f>
        <v>8786</v>
      </c>
    </row>
    <row r="242" spans="1:15">
      <c r="A242"/>
      <c r="B242"/>
      <c r="C242"/>
      <c r="D242"/>
      <c r="E242" t="s">
        <v>153</v>
      </c>
      <c r="F242"/>
      <c r="G242" s="25">
        <f ca="1">G241/F241</f>
        <v>761.24770642201838</v>
      </c>
      <c r="H242"/>
      <c r="I242"/>
    </row>
    <row r="243" spans="1:15">
      <c r="A243" s="42">
        <f>IF(ISBLANK(E91),0,VLOOKUP(E91,$E$151:$F$182,2, ))</f>
        <v>3000</v>
      </c>
      <c r="B243" s="43">
        <f>IF(ISBLANK(G91),IF(ISBLANK(E91),0,100),VLOOKUP(G91,$Q$151:$R$159,2, ))</f>
        <v>500</v>
      </c>
      <c r="C243" s="43">
        <f>IF(ISBLANK(I91),0,VLOOKUP(I91,$H$151:$I$180,2, ))</f>
        <v>22</v>
      </c>
      <c r="D243" s="42">
        <f>SUM(A243:C243)</f>
        <v>3522</v>
      </c>
      <c r="E243" s="42">
        <f>IF(D243=0,0,VLOOKUP(D243,$B$278:$G$897,6, ))</f>
        <v>1067</v>
      </c>
      <c r="F243" t="s">
        <v>154</v>
      </c>
      <c r="G243"/>
      <c r="H243"/>
      <c r="I243"/>
    </row>
    <row r="245" spans="1:15">
      <c r="F245"/>
      <c r="G245" s="25" t="s">
        <v>155</v>
      </c>
      <c r="H245" s="25">
        <f>K5+F89</f>
        <v>2027</v>
      </c>
      <c r="I245" s="25"/>
      <c r="J245" s="25"/>
      <c r="K245" s="25" t="s">
        <v>156</v>
      </c>
      <c r="L245" s="54">
        <f ca="1">TODAY()</f>
        <v>43810</v>
      </c>
    </row>
    <row r="246" spans="1:15">
      <c r="A246" s="55" t="s">
        <v>157</v>
      </c>
      <c r="B246" s="55"/>
      <c r="C246" s="55" t="s">
        <v>158</v>
      </c>
      <c r="D246" s="43" t="s">
        <v>159</v>
      </c>
      <c r="E246" s="43" t="s">
        <v>160</v>
      </c>
      <c r="G246" s="25" t="s">
        <v>161</v>
      </c>
      <c r="H246" s="56">
        <f>DATE(H245,I5,G5)</f>
        <v>46631</v>
      </c>
      <c r="I246" s="25"/>
      <c r="J246" s="56"/>
      <c r="K246"/>
      <c r="L246" s="25"/>
      <c r="M246"/>
    </row>
    <row r="247" spans="1:15">
      <c r="A247" s="57">
        <f t="shared" ref="A247:A271" si="17">IF(ISBLANK(M63),0,DATE(M63,L63,K63))</f>
        <v>33848</v>
      </c>
      <c r="B247" s="57"/>
      <c r="C247" s="58">
        <f>IF(A248&lt;&gt;0,A248-A247,0)</f>
        <v>365</v>
      </c>
      <c r="D247" s="43">
        <f t="shared" ref="D247:D271" si="18">ROUND(C247/30.5,0)</f>
        <v>12</v>
      </c>
      <c r="E247" s="43">
        <f t="shared" ref="E247:E271" si="19">D247/12</f>
        <v>1</v>
      </c>
      <c r="G247" s="59" t="s">
        <v>162</v>
      </c>
      <c r="H247" s="25"/>
      <c r="I247" s="25">
        <f ca="1">H246-L245</f>
        <v>2821</v>
      </c>
      <c r="J247" t="s">
        <v>163</v>
      </c>
      <c r="K247" t="s">
        <v>164</v>
      </c>
      <c r="L247" s="25">
        <f ca="1">I247/365</f>
        <v>7.7287671232876711</v>
      </c>
      <c r="M247" s="25" t="s">
        <v>165</v>
      </c>
      <c r="N247" s="25">
        <f ca="1">IF(I247&gt;0,INT(L247*4),0-INT(0-L247*4))</f>
        <v>30</v>
      </c>
      <c r="O247" s="25" t="s">
        <v>24</v>
      </c>
    </row>
    <row r="248" spans="1:15">
      <c r="A248" s="57">
        <f t="shared" si="17"/>
        <v>34213</v>
      </c>
      <c r="B248" s="57"/>
      <c r="C248" s="58">
        <f t="shared" ref="C248:C271" si="20">IF(A249&lt;&gt;0,A249-A248,IF(A248=0,0,$A$273-A248))</f>
        <v>730</v>
      </c>
      <c r="D248" s="43">
        <f t="shared" si="18"/>
        <v>24</v>
      </c>
      <c r="E248" s="43">
        <f t="shared" si="19"/>
        <v>2</v>
      </c>
      <c r="G248" s="60" t="s">
        <v>166</v>
      </c>
      <c r="H248" s="25">
        <f>MAX(E216:E239)</f>
        <v>1067</v>
      </c>
      <c r="I248" s="25"/>
      <c r="J248" s="25"/>
      <c r="K248" s="25"/>
      <c r="L248" s="25"/>
      <c r="M248"/>
    </row>
    <row r="249" spans="1:15">
      <c r="A249" s="57">
        <f t="shared" si="17"/>
        <v>34943</v>
      </c>
      <c r="B249" s="57"/>
      <c r="C249" s="58">
        <f t="shared" si="20"/>
        <v>1096</v>
      </c>
      <c r="D249" s="43">
        <f t="shared" si="18"/>
        <v>36</v>
      </c>
      <c r="E249" s="43">
        <f t="shared" si="19"/>
        <v>3</v>
      </c>
      <c r="G249" s="59" t="s">
        <v>167</v>
      </c>
      <c r="H249" s="25">
        <f>E243</f>
        <v>1067</v>
      </c>
      <c r="I249" s="25"/>
      <c r="J249" s="25"/>
      <c r="K249" s="25"/>
      <c r="L249" s="25"/>
      <c r="M249"/>
    </row>
    <row r="250" spans="1:15">
      <c r="A250" s="57">
        <f t="shared" si="17"/>
        <v>36039</v>
      </c>
      <c r="B250" s="57"/>
      <c r="C250" s="58">
        <f t="shared" si="20"/>
        <v>731</v>
      </c>
      <c r="D250" s="43">
        <f t="shared" si="18"/>
        <v>24</v>
      </c>
      <c r="E250" s="43">
        <f t="shared" si="19"/>
        <v>2</v>
      </c>
      <c r="G250" s="59" t="s">
        <v>168</v>
      </c>
      <c r="H250" s="25">
        <f ca="1">F241+L247</f>
        <v>34.978767123287668</v>
      </c>
      <c r="I250" s="25" t="s">
        <v>169</v>
      </c>
      <c r="J250" s="25">
        <f ca="1">ROUND(H250*4,0)</f>
        <v>140</v>
      </c>
      <c r="K250" s="25" t="s">
        <v>24</v>
      </c>
      <c r="L250" s="25"/>
      <c r="M250"/>
    </row>
    <row r="251" spans="1:15">
      <c r="A251" s="57">
        <f t="shared" si="17"/>
        <v>36770</v>
      </c>
      <c r="B251" s="57"/>
      <c r="C251" s="58">
        <f t="shared" si="20"/>
        <v>1095</v>
      </c>
      <c r="D251" s="43">
        <f t="shared" si="18"/>
        <v>36</v>
      </c>
      <c r="E251" s="43">
        <f t="shared" si="19"/>
        <v>3</v>
      </c>
      <c r="G251" s="59" t="s">
        <v>170</v>
      </c>
      <c r="H251" s="25">
        <f ca="1">(H248+H249)*0.5*L247+G241</f>
        <v>28990.594520547944</v>
      </c>
      <c r="I251" s="25"/>
      <c r="J251" s="25"/>
      <c r="K251" s="25"/>
      <c r="L251" s="25"/>
      <c r="M251"/>
    </row>
    <row r="252" spans="1:15">
      <c r="A252" s="57">
        <f t="shared" si="17"/>
        <v>37865</v>
      </c>
      <c r="B252" s="57"/>
      <c r="C252" s="58">
        <f t="shared" si="20"/>
        <v>1096</v>
      </c>
      <c r="D252" s="43">
        <f t="shared" si="18"/>
        <v>36</v>
      </c>
      <c r="E252" s="43">
        <f t="shared" si="19"/>
        <v>3</v>
      </c>
      <c r="G252" s="59" t="s">
        <v>171</v>
      </c>
      <c r="H252" s="25"/>
      <c r="I252" s="25">
        <f ca="1">H251/H250</f>
        <v>828.80549844328266</v>
      </c>
      <c r="J252" s="25"/>
      <c r="K252" s="25"/>
      <c r="L252" s="25"/>
      <c r="M252"/>
    </row>
    <row r="253" spans="1:15">
      <c r="A253" s="57">
        <f t="shared" si="17"/>
        <v>38961</v>
      </c>
      <c r="B253" s="57"/>
      <c r="C253" s="58">
        <f t="shared" si="20"/>
        <v>365</v>
      </c>
      <c r="D253" s="43">
        <f t="shared" si="18"/>
        <v>12</v>
      </c>
      <c r="E253" s="43">
        <f t="shared" si="19"/>
        <v>1</v>
      </c>
      <c r="G253" s="59" t="s">
        <v>172</v>
      </c>
      <c r="H253" s="25">
        <v>56.232300000000002</v>
      </c>
      <c r="I253" s="25" t="s">
        <v>173</v>
      </c>
      <c r="J253" s="25"/>
      <c r="K253" s="25"/>
      <c r="L253" s="25"/>
      <c r="M253"/>
    </row>
    <row r="254" spans="1:15">
      <c r="A254" s="57">
        <f t="shared" si="17"/>
        <v>39326</v>
      </c>
      <c r="B254" s="57"/>
      <c r="C254" s="58">
        <f t="shared" si="20"/>
        <v>731</v>
      </c>
      <c r="D254" s="43">
        <f t="shared" si="18"/>
        <v>24</v>
      </c>
      <c r="E254" s="43">
        <f t="shared" si="19"/>
        <v>2</v>
      </c>
      <c r="G254" s="61" t="s">
        <v>174</v>
      </c>
      <c r="H254" s="42"/>
      <c r="I254" s="42"/>
      <c r="J254" s="42"/>
      <c r="K254" s="62">
        <f>H93</f>
        <v>0.1</v>
      </c>
      <c r="L254" s="25"/>
      <c r="M254"/>
    </row>
    <row r="255" spans="1:15">
      <c r="A255" s="57">
        <f t="shared" si="17"/>
        <v>40057</v>
      </c>
      <c r="B255" s="57"/>
      <c r="C255" s="58">
        <f t="shared" si="20"/>
        <v>730</v>
      </c>
      <c r="D255" s="43">
        <f t="shared" si="18"/>
        <v>24</v>
      </c>
      <c r="E255" s="43">
        <f t="shared" si="19"/>
        <v>2</v>
      </c>
      <c r="G255" s="59" t="s">
        <v>175</v>
      </c>
      <c r="H255" s="25"/>
      <c r="I255" s="86">
        <f ca="1">H253*H251</f>
        <v>1630207.8082578082</v>
      </c>
      <c r="J255" s="86"/>
      <c r="K255" s="25"/>
      <c r="L255" s="25"/>
      <c r="M255"/>
    </row>
    <row r="256" spans="1:15">
      <c r="A256" s="57">
        <f t="shared" si="17"/>
        <v>40787</v>
      </c>
      <c r="B256" s="57"/>
      <c r="C256" s="58">
        <f t="shared" si="20"/>
        <v>366</v>
      </c>
      <c r="D256" s="43">
        <f t="shared" si="18"/>
        <v>12</v>
      </c>
      <c r="E256" s="43">
        <f t="shared" si="19"/>
        <v>1</v>
      </c>
      <c r="G256" s="59" t="s">
        <v>176</v>
      </c>
      <c r="H256" s="25"/>
      <c r="I256" s="86">
        <f ca="1">I255*K254</f>
        <v>163020.78082578082</v>
      </c>
      <c r="J256" s="86"/>
      <c r="L256"/>
      <c r="M256"/>
      <c r="N256"/>
      <c r="O256"/>
    </row>
    <row r="257" spans="1:16">
      <c r="A257" s="57">
        <f t="shared" si="17"/>
        <v>41153</v>
      </c>
      <c r="B257" s="57"/>
      <c r="C257" s="58">
        <f t="shared" si="20"/>
        <v>365</v>
      </c>
      <c r="D257" s="43">
        <f t="shared" si="18"/>
        <v>12</v>
      </c>
      <c r="E257" s="43">
        <f t="shared" si="19"/>
        <v>1</v>
      </c>
      <c r="G257" s="59" t="s">
        <v>177</v>
      </c>
      <c r="H257" s="25"/>
      <c r="I257" s="86">
        <f ca="1">I255+I256</f>
        <v>1793228.5890835891</v>
      </c>
      <c r="J257" s="86"/>
      <c r="K257" s="25"/>
      <c r="L257" s="25"/>
      <c r="M257"/>
      <c r="O257"/>
      <c r="P257"/>
    </row>
    <row r="258" spans="1:16">
      <c r="A258" s="57">
        <f t="shared" si="17"/>
        <v>41518</v>
      </c>
      <c r="B258" s="57"/>
      <c r="C258" s="58">
        <f t="shared" si="20"/>
        <v>1461</v>
      </c>
      <c r="D258" s="43">
        <f t="shared" si="18"/>
        <v>48</v>
      </c>
      <c r="E258" s="43">
        <f t="shared" si="19"/>
        <v>4</v>
      </c>
      <c r="G258" s="59" t="s">
        <v>178</v>
      </c>
      <c r="H258"/>
      <c r="I258" s="86">
        <f>O397</f>
        <v>9253.0421999999999</v>
      </c>
      <c r="J258" s="86"/>
      <c r="K258"/>
      <c r="L258"/>
      <c r="M258"/>
      <c r="O258"/>
      <c r="P258"/>
    </row>
    <row r="259" spans="1:16">
      <c r="A259" s="57">
        <f t="shared" si="17"/>
        <v>42979</v>
      </c>
      <c r="B259" s="57"/>
      <c r="C259" s="58">
        <f t="shared" si="20"/>
        <v>365</v>
      </c>
      <c r="D259" s="43">
        <f t="shared" si="18"/>
        <v>12</v>
      </c>
      <c r="E259" s="43">
        <f t="shared" si="19"/>
        <v>1</v>
      </c>
      <c r="G259" s="59" t="s">
        <v>179</v>
      </c>
      <c r="H259"/>
      <c r="I259" s="84">
        <f ca="1">I257+I258</f>
        <v>1802481.6312835892</v>
      </c>
      <c r="J259" s="84"/>
      <c r="K259"/>
      <c r="L259"/>
      <c r="M259"/>
      <c r="N259"/>
      <c r="O259"/>
      <c r="P259"/>
    </row>
    <row r="260" spans="1:16">
      <c r="A260" s="57">
        <f t="shared" si="17"/>
        <v>43344</v>
      </c>
      <c r="B260" s="57"/>
      <c r="C260" s="58">
        <f t="shared" si="20"/>
        <v>365</v>
      </c>
      <c r="D260" s="43">
        <f t="shared" si="18"/>
        <v>12</v>
      </c>
      <c r="E260" s="43">
        <f t="shared" si="19"/>
        <v>1</v>
      </c>
      <c r="G260" s="59" t="s">
        <v>180</v>
      </c>
      <c r="H260"/>
      <c r="I260" s="84">
        <f ca="1">I259*0.2531</f>
        <v>456208.10087787639</v>
      </c>
      <c r="J260" s="84"/>
      <c r="K260"/>
      <c r="L260"/>
      <c r="M260"/>
      <c r="O260"/>
      <c r="P260"/>
    </row>
    <row r="261" spans="1:16">
      <c r="A261" s="57">
        <f t="shared" si="17"/>
        <v>43709</v>
      </c>
      <c r="B261" s="57"/>
      <c r="C261" s="58">
        <f t="shared" ca="1" si="20"/>
        <v>101</v>
      </c>
      <c r="D261" s="43">
        <f t="shared" ca="1" si="18"/>
        <v>3</v>
      </c>
      <c r="E261" s="43">
        <f t="shared" ca="1" si="19"/>
        <v>0.25</v>
      </c>
      <c r="G261" s="59" t="s">
        <v>181</v>
      </c>
      <c r="H261"/>
      <c r="I261">
        <f>1+(F89-64)*0.05</f>
        <v>0.9</v>
      </c>
      <c r="J261"/>
      <c r="K261"/>
      <c r="L261"/>
      <c r="M261"/>
      <c r="O261"/>
      <c r="P261"/>
    </row>
    <row r="262" spans="1:16">
      <c r="A262" s="57">
        <f t="shared" si="17"/>
        <v>0</v>
      </c>
      <c r="B262" s="57"/>
      <c r="C262" s="58">
        <f t="shared" si="20"/>
        <v>0</v>
      </c>
      <c r="D262" s="43">
        <f t="shared" si="18"/>
        <v>0</v>
      </c>
      <c r="E262" s="43">
        <f t="shared" si="19"/>
        <v>0</v>
      </c>
      <c r="G262" s="43" t="s">
        <v>182</v>
      </c>
      <c r="H262" s="43"/>
      <c r="I262" s="63">
        <f ca="1">I260*0.055*(1+K206)*I261/12</f>
        <v>2201.774346861851</v>
      </c>
      <c r="J262"/>
      <c r="K262"/>
      <c r="L262"/>
      <c r="M262"/>
      <c r="O262"/>
      <c r="P262"/>
    </row>
    <row r="263" spans="1:16">
      <c r="A263" s="57">
        <f t="shared" si="17"/>
        <v>0</v>
      </c>
      <c r="B263" s="57"/>
      <c r="C263" s="58">
        <f t="shared" si="20"/>
        <v>0</v>
      </c>
      <c r="D263" s="43">
        <f t="shared" si="18"/>
        <v>0</v>
      </c>
      <c r="E263" s="43">
        <f t="shared" si="19"/>
        <v>0</v>
      </c>
      <c r="G263" t="s">
        <v>183</v>
      </c>
      <c r="H263"/>
      <c r="I263">
        <f>K207</f>
        <v>10</v>
      </c>
      <c r="J263" t="s">
        <v>24</v>
      </c>
      <c r="K263"/>
      <c r="L263"/>
      <c r="M263"/>
      <c r="O263"/>
      <c r="P263"/>
    </row>
    <row r="264" spans="1:16">
      <c r="A264" s="57">
        <f t="shared" si="17"/>
        <v>0</v>
      </c>
      <c r="B264" s="57"/>
      <c r="C264" s="58">
        <f t="shared" si="20"/>
        <v>0</v>
      </c>
      <c r="D264" s="43">
        <f t="shared" si="18"/>
        <v>0</v>
      </c>
      <c r="E264" s="43">
        <f t="shared" si="19"/>
        <v>0</v>
      </c>
      <c r="G264" t="s">
        <v>184</v>
      </c>
      <c r="H264"/>
      <c r="I264">
        <f ca="1">J250+N55+N56+I263</f>
        <v>150</v>
      </c>
      <c r="J264"/>
      <c r="K264"/>
      <c r="L264"/>
      <c r="M264"/>
      <c r="O264"/>
      <c r="P264"/>
    </row>
    <row r="265" spans="1:16">
      <c r="A265" s="57">
        <f t="shared" si="17"/>
        <v>0</v>
      </c>
      <c r="B265" s="57"/>
      <c r="C265" s="58">
        <f t="shared" si="20"/>
        <v>0</v>
      </c>
      <c r="D265" s="43">
        <f t="shared" si="18"/>
        <v>0</v>
      </c>
      <c r="E265" s="43">
        <f t="shared" si="19"/>
        <v>0</v>
      </c>
      <c r="G265" t="s">
        <v>185</v>
      </c>
      <c r="H265"/>
      <c r="I265">
        <f ca="1">J250+N54+N56+I263+I20</f>
        <v>168</v>
      </c>
      <c r="J265"/>
      <c r="K265"/>
      <c r="L265"/>
      <c r="M265"/>
      <c r="N265"/>
      <c r="O265"/>
      <c r="P265"/>
    </row>
    <row r="266" spans="1:16">
      <c r="A266" s="57">
        <f t="shared" si="17"/>
        <v>0</v>
      </c>
      <c r="B266" s="57"/>
      <c r="C266" s="58">
        <f t="shared" si="20"/>
        <v>0</v>
      </c>
      <c r="D266" s="43">
        <f t="shared" si="18"/>
        <v>0</v>
      </c>
      <c r="E266" s="43">
        <f t="shared" si="19"/>
        <v>0</v>
      </c>
      <c r="G266" t="s">
        <v>186</v>
      </c>
      <c r="H266"/>
      <c r="I266" s="64">
        <f ca="1">IF(I265&lt;M266,1-0.0125*MIN(M266-I265,4*(67-F89)),1+0.0125*(I265-M266))</f>
        <v>0.98750000000000004</v>
      </c>
      <c r="J266"/>
      <c r="K266">
        <f ca="1">MIN(172-I265,4*(67-F89))</f>
        <v>4</v>
      </c>
      <c r="L266" s="43" t="s">
        <v>187</v>
      </c>
      <c r="M266" s="43">
        <f>IF(K5&gt;=1973,172,VLOOKUP(K5,J152:K168,2))</f>
        <v>169</v>
      </c>
      <c r="O266"/>
      <c r="P266"/>
    </row>
    <row r="267" spans="1:16">
      <c r="A267" s="57">
        <f t="shared" si="17"/>
        <v>0</v>
      </c>
      <c r="B267" s="57"/>
      <c r="C267" s="58">
        <f t="shared" si="20"/>
        <v>0</v>
      </c>
      <c r="D267" s="43">
        <f t="shared" si="18"/>
        <v>0</v>
      </c>
      <c r="E267" s="43">
        <f t="shared" si="19"/>
        <v>0</v>
      </c>
      <c r="G267" t="s">
        <v>188</v>
      </c>
      <c r="H267"/>
      <c r="I267" s="65">
        <f ca="1">MIN(0.8,0.75*I266*(MIN(I264,M266)/M266))</f>
        <v>0.65735946745562135</v>
      </c>
      <c r="J267" s="25" t="s">
        <v>189</v>
      </c>
      <c r="K267"/>
      <c r="L267" t="s">
        <v>190</v>
      </c>
      <c r="M267"/>
      <c r="N267" s="85">
        <f ca="1">I256-I241*H253*K254</f>
        <v>113615.08204578081</v>
      </c>
      <c r="O267" s="85"/>
      <c r="P267"/>
    </row>
    <row r="268" spans="1:16">
      <c r="A268" s="57">
        <f t="shared" si="17"/>
        <v>0</v>
      </c>
      <c r="B268" s="57"/>
      <c r="C268" s="58">
        <f t="shared" si="20"/>
        <v>0</v>
      </c>
      <c r="D268" s="43">
        <f t="shared" si="18"/>
        <v>0</v>
      </c>
      <c r="E268" s="43">
        <f t="shared" si="19"/>
        <v>0</v>
      </c>
      <c r="G268" t="s">
        <v>191</v>
      </c>
      <c r="H268"/>
      <c r="I268" s="65">
        <f ca="1">MIN(1,I267*(1+K205))</f>
        <v>0.72309541420118351</v>
      </c>
      <c r="J268" t="s">
        <v>192</v>
      </c>
      <c r="K268" s="85">
        <f ca="1">N267</f>
        <v>113615.08204578081</v>
      </c>
      <c r="L268" s="85"/>
      <c r="M268" t="s">
        <v>193</v>
      </c>
      <c r="O268"/>
      <c r="P268"/>
    </row>
    <row r="269" spans="1:16">
      <c r="A269" s="57">
        <f t="shared" si="17"/>
        <v>0</v>
      </c>
      <c r="B269" s="57"/>
      <c r="C269" s="58">
        <f t="shared" si="20"/>
        <v>0</v>
      </c>
      <c r="D269" s="43">
        <f t="shared" si="18"/>
        <v>0</v>
      </c>
      <c r="E269" s="43">
        <f t="shared" si="19"/>
        <v>0</v>
      </c>
      <c r="G269" s="43" t="s">
        <v>194</v>
      </c>
      <c r="H269" s="43"/>
      <c r="I269" s="63">
        <f ca="1">E243*H253*I268/12</f>
        <v>3615.4688819503517</v>
      </c>
      <c r="J269"/>
      <c r="K269"/>
      <c r="L269" s="60" t="s">
        <v>195</v>
      </c>
      <c r="M269" s="25">
        <f>VLOOKUP(F89,L151:M162,2)</f>
        <v>1</v>
      </c>
      <c r="O269"/>
      <c r="P269"/>
    </row>
    <row r="270" spans="1:16">
      <c r="A270" s="57">
        <f t="shared" si="17"/>
        <v>0</v>
      </c>
      <c r="B270" s="57"/>
      <c r="C270" s="58">
        <f t="shared" si="20"/>
        <v>0</v>
      </c>
      <c r="D270" s="43">
        <f t="shared" si="18"/>
        <v>0</v>
      </c>
      <c r="E270" s="43">
        <f t="shared" si="19"/>
        <v>0</v>
      </c>
      <c r="G270" s="43" t="s">
        <v>196</v>
      </c>
      <c r="H270" s="43"/>
      <c r="I270" s="63">
        <f ca="1">N267*0.1*(0.04605/1.2317)*M269/12</f>
        <v>35.398057753566931</v>
      </c>
      <c r="J270"/>
      <c r="K270"/>
      <c r="L270"/>
      <c r="M270"/>
      <c r="O270"/>
      <c r="P270"/>
    </row>
    <row r="271" spans="1:16">
      <c r="A271" s="57">
        <f t="shared" si="17"/>
        <v>0</v>
      </c>
      <c r="B271" s="57"/>
      <c r="C271" s="58">
        <f t="shared" si="20"/>
        <v>0</v>
      </c>
      <c r="D271" s="43">
        <f t="shared" si="18"/>
        <v>0</v>
      </c>
      <c r="E271" s="43">
        <f t="shared" si="19"/>
        <v>0</v>
      </c>
      <c r="G271" s="43" t="s">
        <v>197</v>
      </c>
      <c r="H271" s="43"/>
      <c r="I271" s="63">
        <f ca="1">I258*I266*0.5/25/12</f>
        <v>15.228965287500001</v>
      </c>
      <c r="J271"/>
      <c r="K271"/>
      <c r="L271"/>
      <c r="M271"/>
      <c r="O271"/>
      <c r="P271"/>
    </row>
    <row r="272" spans="1:16">
      <c r="A272">
        <v>0</v>
      </c>
      <c r="B272"/>
      <c r="C272"/>
      <c r="D272"/>
      <c r="F272" t="s">
        <v>198</v>
      </c>
      <c r="G272">
        <f ca="1">(1+F107)*365</f>
        <v>218.7038616939904</v>
      </c>
      <c r="H272"/>
      <c r="I272"/>
      <c r="J272"/>
      <c r="K272"/>
      <c r="L272"/>
      <c r="O272"/>
      <c r="P272"/>
    </row>
    <row r="273" spans="1:18">
      <c r="A273" s="66">
        <f ca="1">L245</f>
        <v>43810</v>
      </c>
      <c r="B273"/>
      <c r="C273"/>
      <c r="D273"/>
      <c r="F273" t="s">
        <v>199</v>
      </c>
      <c r="G273">
        <f ca="1">G272/30.5</f>
        <v>7.1706184161964064</v>
      </c>
      <c r="H273" s="43">
        <f ca="1">INT(G273)</f>
        <v>7</v>
      </c>
      <c r="I273"/>
      <c r="J273"/>
      <c r="K273"/>
      <c r="L273"/>
      <c r="O273"/>
      <c r="P273"/>
    </row>
    <row r="274" spans="1:18">
      <c r="F274" t="s">
        <v>200</v>
      </c>
      <c r="G274"/>
      <c r="H274">
        <f ca="1">G272-H273*30.5</f>
        <v>5.2038616939904045</v>
      </c>
      <c r="I274" s="43">
        <f ca="1">ROUNDUP(H274,0)</f>
        <v>6</v>
      </c>
      <c r="J274" s="43" t="str">
        <f ca="1">VLOOKUP(1+H273,O151:P162,2)</f>
        <v>août</v>
      </c>
      <c r="K274"/>
      <c r="L274"/>
      <c r="O274"/>
      <c r="P274"/>
    </row>
    <row r="275" spans="1:18">
      <c r="O275"/>
      <c r="P275"/>
    </row>
    <row r="277" spans="1:18">
      <c r="B277" s="15" t="s">
        <v>201</v>
      </c>
      <c r="C277" s="15" t="s">
        <v>40</v>
      </c>
      <c r="D277" s="15" t="s">
        <v>41</v>
      </c>
      <c r="E277" s="15" t="s">
        <v>42</v>
      </c>
      <c r="F277" s="15" t="s">
        <v>202</v>
      </c>
      <c r="G277" s="15" t="s">
        <v>148</v>
      </c>
      <c r="I277"/>
      <c r="J277"/>
      <c r="K277"/>
      <c r="L277"/>
      <c r="M277"/>
      <c r="N277"/>
      <c r="O277"/>
      <c r="P277"/>
      <c r="Q277"/>
      <c r="R277"/>
    </row>
    <row r="278" spans="1:18">
      <c r="B278" s="25">
        <v>1101</v>
      </c>
      <c r="C278" s="25" t="s">
        <v>85</v>
      </c>
      <c r="D278" s="25" t="s">
        <v>203</v>
      </c>
      <c r="E278" s="25">
        <v>1</v>
      </c>
      <c r="F278" s="25">
        <v>349</v>
      </c>
      <c r="G278" s="25">
        <v>388</v>
      </c>
      <c r="I278"/>
      <c r="J278"/>
      <c r="K278"/>
      <c r="L278"/>
      <c r="M278"/>
      <c r="N278"/>
      <c r="O278"/>
      <c r="P278"/>
      <c r="Q278"/>
      <c r="R278"/>
    </row>
    <row r="279" spans="1:18">
      <c r="B279" s="25">
        <v>1102</v>
      </c>
      <c r="C279" s="25" t="s">
        <v>85</v>
      </c>
      <c r="D279" s="25" t="s">
        <v>203</v>
      </c>
      <c r="E279" s="25">
        <v>2</v>
      </c>
      <c r="F279" s="25">
        <v>376</v>
      </c>
      <c r="G279" s="25">
        <v>441</v>
      </c>
      <c r="I279"/>
      <c r="J279"/>
      <c r="K279"/>
      <c r="L279"/>
      <c r="M279"/>
      <c r="N279"/>
      <c r="O279"/>
      <c r="P279"/>
      <c r="Q279"/>
      <c r="R279"/>
    </row>
    <row r="280" spans="1:18">
      <c r="B280" s="25">
        <v>1103</v>
      </c>
      <c r="C280" s="25" t="s">
        <v>85</v>
      </c>
      <c r="D280" s="25" t="s">
        <v>203</v>
      </c>
      <c r="E280" s="25">
        <v>3</v>
      </c>
      <c r="F280" s="25">
        <v>432</v>
      </c>
      <c r="G280" s="25">
        <v>445</v>
      </c>
      <c r="I280"/>
      <c r="J280"/>
      <c r="K280"/>
      <c r="L280"/>
      <c r="M280"/>
      <c r="N280"/>
      <c r="O280"/>
      <c r="P280"/>
      <c r="Q280"/>
      <c r="R280"/>
    </row>
    <row r="281" spans="1:18">
      <c r="B281" s="25">
        <v>1104</v>
      </c>
      <c r="C281" s="25" t="s">
        <v>85</v>
      </c>
      <c r="D281" s="25" t="s">
        <v>203</v>
      </c>
      <c r="E281" s="25">
        <v>4</v>
      </c>
      <c r="F281" s="25">
        <v>445</v>
      </c>
      <c r="G281" s="25">
        <v>458</v>
      </c>
      <c r="I281"/>
      <c r="J281"/>
      <c r="K281"/>
      <c r="L281"/>
      <c r="M281"/>
      <c r="N281"/>
      <c r="O281"/>
      <c r="P281"/>
      <c r="Q281"/>
      <c r="R281"/>
    </row>
    <row r="282" spans="1:18">
      <c r="B282" s="25">
        <v>1105</v>
      </c>
      <c r="C282" s="25" t="s">
        <v>85</v>
      </c>
      <c r="D282" s="25" t="s">
        <v>203</v>
      </c>
      <c r="E282" s="25">
        <v>5</v>
      </c>
      <c r="F282" s="25"/>
      <c r="G282" s="25">
        <v>471</v>
      </c>
      <c r="I282"/>
      <c r="J282"/>
      <c r="K282"/>
      <c r="L282"/>
      <c r="M282"/>
      <c r="N282"/>
      <c r="O282"/>
      <c r="P282"/>
      <c r="Q282"/>
      <c r="R282"/>
    </row>
    <row r="283" spans="1:18">
      <c r="B283" s="25">
        <v>1106</v>
      </c>
      <c r="C283" s="25" t="s">
        <v>85</v>
      </c>
      <c r="D283" s="25" t="s">
        <v>203</v>
      </c>
      <c r="E283" s="25">
        <v>6</v>
      </c>
      <c r="F283" s="25"/>
      <c r="G283" s="25">
        <v>483</v>
      </c>
      <c r="I283"/>
      <c r="J283"/>
      <c r="K283"/>
      <c r="L283"/>
      <c r="M283"/>
      <c r="N283"/>
      <c r="O283"/>
      <c r="P283"/>
      <c r="Q283"/>
      <c r="R283"/>
    </row>
    <row r="284" spans="1:18">
      <c r="B284" s="25">
        <v>1107</v>
      </c>
      <c r="C284" s="25" t="s">
        <v>85</v>
      </c>
      <c r="D284" s="25" t="s">
        <v>203</v>
      </c>
      <c r="E284" s="25">
        <v>7</v>
      </c>
      <c r="F284" s="25"/>
      <c r="G284" s="25">
        <v>511</v>
      </c>
      <c r="I284"/>
      <c r="J284"/>
      <c r="K284"/>
      <c r="L284"/>
      <c r="M284"/>
      <c r="N284"/>
      <c r="O284"/>
      <c r="P284"/>
      <c r="Q284"/>
      <c r="R284"/>
    </row>
    <row r="285" spans="1:18">
      <c r="B285" s="25">
        <v>1108</v>
      </c>
      <c r="C285" s="25" t="s">
        <v>85</v>
      </c>
      <c r="D285" s="25" t="s">
        <v>203</v>
      </c>
      <c r="E285" s="25">
        <v>8</v>
      </c>
      <c r="F285" s="25"/>
      <c r="G285" s="25">
        <v>547</v>
      </c>
      <c r="I285"/>
      <c r="J285"/>
      <c r="K285"/>
      <c r="L285"/>
      <c r="M285"/>
      <c r="N285"/>
      <c r="O285"/>
      <c r="P285"/>
      <c r="Q285"/>
      <c r="R285"/>
    </row>
    <row r="286" spans="1:18">
      <c r="B286" s="25">
        <v>1109</v>
      </c>
      <c r="C286" s="25" t="s">
        <v>85</v>
      </c>
      <c r="D286" s="25" t="s">
        <v>203</v>
      </c>
      <c r="E286" s="25">
        <v>9</v>
      </c>
      <c r="F286" s="25">
        <v>567</v>
      </c>
      <c r="G286" s="25">
        <v>583</v>
      </c>
      <c r="I286"/>
      <c r="J286"/>
      <c r="K286"/>
      <c r="L286"/>
      <c r="M286"/>
      <c r="N286"/>
      <c r="O286"/>
      <c r="P286"/>
      <c r="Q286"/>
      <c r="R286"/>
    </row>
    <row r="287" spans="1:18">
      <c r="B287" s="25">
        <v>1110</v>
      </c>
      <c r="C287" s="25" t="s">
        <v>85</v>
      </c>
      <c r="D287" s="25" t="s">
        <v>203</v>
      </c>
      <c r="E287" s="25">
        <v>10</v>
      </c>
      <c r="F287" s="25">
        <v>612</v>
      </c>
      <c r="G287" s="25">
        <v>625</v>
      </c>
      <c r="I287"/>
      <c r="J287"/>
      <c r="K287"/>
      <c r="L287"/>
      <c r="M287"/>
      <c r="N287"/>
      <c r="O287"/>
      <c r="P287"/>
      <c r="Q287"/>
      <c r="R287"/>
    </row>
    <row r="288" spans="1:18">
      <c r="B288" s="25">
        <v>1111</v>
      </c>
      <c r="C288" s="25" t="s">
        <v>85</v>
      </c>
      <c r="D288" s="25" t="s">
        <v>203</v>
      </c>
      <c r="E288" s="25">
        <v>11</v>
      </c>
      <c r="F288" s="25">
        <v>658</v>
      </c>
      <c r="G288" s="25">
        <v>669</v>
      </c>
      <c r="I288"/>
      <c r="J288"/>
      <c r="K288"/>
      <c r="L288"/>
      <c r="M288"/>
      <c r="N288"/>
      <c r="O288"/>
      <c r="P288"/>
      <c r="Q288"/>
      <c r="R288"/>
    </row>
    <row r="289" spans="2:18">
      <c r="B289" s="25">
        <v>1201</v>
      </c>
      <c r="C289" s="25" t="s">
        <v>85</v>
      </c>
      <c r="D289" s="25" t="s">
        <v>45</v>
      </c>
      <c r="E289" s="25">
        <v>1</v>
      </c>
      <c r="F289" s="25">
        <v>495</v>
      </c>
      <c r="G289" s="25">
        <v>575</v>
      </c>
      <c r="I289"/>
      <c r="J289"/>
      <c r="K289"/>
      <c r="L289"/>
      <c r="M289"/>
      <c r="N289"/>
      <c r="O289"/>
      <c r="P289"/>
      <c r="Q289"/>
      <c r="R289"/>
    </row>
    <row r="290" spans="2:18">
      <c r="B290" s="25">
        <v>1203</v>
      </c>
      <c r="C290" s="25" t="s">
        <v>85</v>
      </c>
      <c r="D290" s="25" t="s">
        <v>45</v>
      </c>
      <c r="E290" s="25">
        <v>3</v>
      </c>
      <c r="F290" s="25">
        <v>601</v>
      </c>
      <c r="G290" s="25">
        <v>657</v>
      </c>
      <c r="I290"/>
      <c r="J290"/>
      <c r="K290"/>
      <c r="L290"/>
      <c r="M290"/>
      <c r="N290"/>
      <c r="O290"/>
      <c r="P290"/>
    </row>
    <row r="291" spans="2:18">
      <c r="B291" s="25">
        <v>1204</v>
      </c>
      <c r="C291" s="25" t="s">
        <v>85</v>
      </c>
      <c r="D291" s="25" t="s">
        <v>45</v>
      </c>
      <c r="E291" s="25">
        <v>4</v>
      </c>
      <c r="F291" s="25">
        <v>642</v>
      </c>
      <c r="G291" s="25">
        <v>710</v>
      </c>
      <c r="I291"/>
      <c r="J291"/>
      <c r="K291"/>
      <c r="L291"/>
      <c r="M291"/>
      <c r="N291"/>
      <c r="O291"/>
      <c r="P291"/>
    </row>
    <row r="292" spans="2:18">
      <c r="B292" s="25">
        <v>1205</v>
      </c>
      <c r="C292" s="25" t="s">
        <v>85</v>
      </c>
      <c r="D292" s="25" t="s">
        <v>45</v>
      </c>
      <c r="E292" s="25">
        <v>5</v>
      </c>
      <c r="F292" s="25">
        <v>695</v>
      </c>
      <c r="G292" s="25">
        <v>756</v>
      </c>
      <c r="I292"/>
      <c r="J292"/>
      <c r="K292"/>
      <c r="L292"/>
      <c r="M292"/>
      <c r="N292"/>
      <c r="O292"/>
      <c r="P292"/>
    </row>
    <row r="293" spans="2:18">
      <c r="B293" s="25">
        <v>1206</v>
      </c>
      <c r="C293" s="25" t="s">
        <v>85</v>
      </c>
      <c r="D293" s="25" t="s">
        <v>45</v>
      </c>
      <c r="E293" s="25">
        <v>6</v>
      </c>
      <c r="F293" s="25">
        <v>741</v>
      </c>
      <c r="G293" s="25">
        <v>798</v>
      </c>
      <c r="I293"/>
      <c r="J293"/>
      <c r="K293"/>
      <c r="L293"/>
      <c r="M293"/>
      <c r="N293"/>
      <c r="O293"/>
      <c r="P293"/>
    </row>
    <row r="294" spans="2:18">
      <c r="B294" s="25">
        <v>1207</v>
      </c>
      <c r="C294" s="25" t="s">
        <v>85</v>
      </c>
      <c r="D294" s="25" t="s">
        <v>45</v>
      </c>
      <c r="E294" s="25">
        <v>7</v>
      </c>
      <c r="F294" s="25">
        <v>783</v>
      </c>
      <c r="G294" s="42">
        <v>798</v>
      </c>
      <c r="I294"/>
      <c r="J294"/>
      <c r="K294"/>
      <c r="L294"/>
      <c r="M294"/>
      <c r="N294"/>
      <c r="O294"/>
      <c r="P294"/>
    </row>
    <row r="295" spans="2:18">
      <c r="B295" s="25">
        <v>1501</v>
      </c>
      <c r="C295" s="25" t="s">
        <v>85</v>
      </c>
      <c r="D295" s="25" t="s">
        <v>49</v>
      </c>
      <c r="E295" s="25">
        <v>1</v>
      </c>
      <c r="F295"/>
      <c r="G295" s="25">
        <v>695</v>
      </c>
      <c r="I295"/>
      <c r="J295"/>
      <c r="K295"/>
      <c r="L295"/>
      <c r="M295"/>
      <c r="N295"/>
      <c r="O295"/>
      <c r="P295"/>
    </row>
    <row r="296" spans="2:18">
      <c r="B296" s="25">
        <v>1502</v>
      </c>
      <c r="C296" s="25" t="s">
        <v>85</v>
      </c>
      <c r="D296" s="25" t="s">
        <v>49</v>
      </c>
      <c r="E296" s="25">
        <v>2</v>
      </c>
      <c r="F296"/>
      <c r="G296" s="25">
        <v>735</v>
      </c>
      <c r="I296"/>
      <c r="J296"/>
      <c r="K296"/>
      <c r="L296"/>
      <c r="M296"/>
      <c r="N296"/>
      <c r="O296"/>
      <c r="P296"/>
    </row>
    <row r="297" spans="2:18">
      <c r="B297" s="25">
        <v>1503</v>
      </c>
      <c r="C297" s="25" t="s">
        <v>85</v>
      </c>
      <c r="D297" s="25" t="s">
        <v>49</v>
      </c>
      <c r="E297" s="25">
        <v>3</v>
      </c>
      <c r="F297"/>
      <c r="G297" s="25">
        <v>775</v>
      </c>
      <c r="I297"/>
      <c r="J297"/>
      <c r="K297"/>
      <c r="L297"/>
      <c r="M297"/>
      <c r="N297"/>
      <c r="O297"/>
      <c r="P297"/>
    </row>
    <row r="298" spans="2:18">
      <c r="B298" s="25">
        <v>1504</v>
      </c>
      <c r="C298" s="25" t="s">
        <v>85</v>
      </c>
      <c r="D298" s="25" t="s">
        <v>49</v>
      </c>
      <c r="E298" s="25">
        <v>4</v>
      </c>
      <c r="F298"/>
      <c r="G298" s="25">
        <v>830</v>
      </c>
      <c r="I298"/>
      <c r="J298"/>
      <c r="K298"/>
      <c r="L298"/>
      <c r="M298"/>
      <c r="N298"/>
      <c r="O298"/>
      <c r="P298"/>
    </row>
    <row r="299" spans="2:18">
      <c r="B299" s="25">
        <v>1517</v>
      </c>
      <c r="C299" s="25" t="s">
        <v>85</v>
      </c>
      <c r="D299" s="25" t="s">
        <v>49</v>
      </c>
      <c r="E299" s="25" t="s">
        <v>111</v>
      </c>
      <c r="F299"/>
      <c r="G299" s="25">
        <v>890</v>
      </c>
      <c r="I299"/>
      <c r="J299"/>
      <c r="K299"/>
      <c r="L299"/>
      <c r="M299"/>
      <c r="N299"/>
      <c r="O299"/>
      <c r="P299"/>
    </row>
    <row r="300" spans="2:18">
      <c r="B300" s="25">
        <v>1518</v>
      </c>
      <c r="C300" s="25" t="s">
        <v>85</v>
      </c>
      <c r="D300" s="25" t="s">
        <v>49</v>
      </c>
      <c r="E300" s="25" t="s">
        <v>113</v>
      </c>
      <c r="F300"/>
      <c r="G300" s="25">
        <v>925</v>
      </c>
      <c r="I300"/>
      <c r="J300"/>
      <c r="K300"/>
      <c r="L300"/>
      <c r="M300"/>
      <c r="N300"/>
      <c r="O300"/>
      <c r="P300"/>
    </row>
    <row r="301" spans="2:18">
      <c r="B301" s="25">
        <v>1519</v>
      </c>
      <c r="C301" s="25" t="s">
        <v>85</v>
      </c>
      <c r="D301" s="25" t="s">
        <v>49</v>
      </c>
      <c r="E301" s="25" t="s">
        <v>115</v>
      </c>
      <c r="F301"/>
      <c r="G301" s="25">
        <v>972</v>
      </c>
      <c r="I301"/>
      <c r="J301"/>
      <c r="K301"/>
      <c r="L301"/>
      <c r="M301"/>
      <c r="N301"/>
      <c r="O301"/>
      <c r="P301"/>
    </row>
    <row r="302" spans="2:18">
      <c r="B302" s="25">
        <v>2101</v>
      </c>
      <c r="C302" s="25" t="s">
        <v>88</v>
      </c>
      <c r="D302" s="25" t="s">
        <v>203</v>
      </c>
      <c r="E302" s="25">
        <v>1</v>
      </c>
      <c r="F302" s="25">
        <v>379</v>
      </c>
      <c r="G302" s="25">
        <v>448</v>
      </c>
      <c r="I302"/>
      <c r="J302"/>
      <c r="K302"/>
      <c r="L302"/>
      <c r="M302"/>
      <c r="N302"/>
      <c r="O302"/>
      <c r="P302"/>
    </row>
    <row r="303" spans="2:18">
      <c r="B303" s="25">
        <v>2102</v>
      </c>
      <c r="C303" s="25" t="s">
        <v>88</v>
      </c>
      <c r="D303" s="25" t="s">
        <v>203</v>
      </c>
      <c r="E303" s="25">
        <v>2</v>
      </c>
      <c r="F303" s="25">
        <v>436</v>
      </c>
      <c r="G303" s="25">
        <v>498</v>
      </c>
      <c r="I303"/>
      <c r="J303"/>
      <c r="K303"/>
      <c r="L303"/>
      <c r="M303"/>
      <c r="N303"/>
      <c r="O303"/>
      <c r="P303"/>
    </row>
    <row r="304" spans="2:18">
      <c r="B304" s="25">
        <v>2103</v>
      </c>
      <c r="C304" s="25" t="s">
        <v>88</v>
      </c>
      <c r="D304" s="25" t="s">
        <v>203</v>
      </c>
      <c r="E304" s="25">
        <v>3</v>
      </c>
      <c r="F304" s="25">
        <v>489</v>
      </c>
      <c r="G304" s="25">
        <v>502</v>
      </c>
      <c r="I304"/>
      <c r="J304"/>
      <c r="K304"/>
      <c r="L304"/>
      <c r="M304"/>
      <c r="N304"/>
      <c r="O304"/>
      <c r="P304"/>
    </row>
    <row r="305" spans="2:22">
      <c r="B305" s="25">
        <v>2104</v>
      </c>
      <c r="C305" s="25" t="s">
        <v>88</v>
      </c>
      <c r="D305" s="25" t="s">
        <v>203</v>
      </c>
      <c r="E305" s="25">
        <v>4</v>
      </c>
      <c r="F305" s="25">
        <v>526</v>
      </c>
      <c r="G305" s="25">
        <v>539</v>
      </c>
      <c r="I305"/>
      <c r="J305"/>
      <c r="K305"/>
      <c r="L305"/>
      <c r="M305"/>
      <c r="N305"/>
      <c r="O305"/>
      <c r="P305"/>
    </row>
    <row r="306" spans="2:22">
      <c r="B306" s="25">
        <v>2105</v>
      </c>
      <c r="C306" s="25" t="s">
        <v>88</v>
      </c>
      <c r="D306" s="25" t="s">
        <v>203</v>
      </c>
      <c r="E306" s="25">
        <v>5</v>
      </c>
      <c r="F306" s="25">
        <v>561</v>
      </c>
      <c r="G306" s="25">
        <v>574</v>
      </c>
      <c r="I306"/>
      <c r="J306"/>
      <c r="K306"/>
      <c r="L306"/>
      <c r="M306"/>
      <c r="N306"/>
      <c r="O306"/>
      <c r="P306"/>
    </row>
    <row r="307" spans="2:22">
      <c r="B307" s="25">
        <v>2106</v>
      </c>
      <c r="C307" s="25" t="s">
        <v>88</v>
      </c>
      <c r="D307" s="25" t="s">
        <v>203</v>
      </c>
      <c r="E307" s="25">
        <v>6</v>
      </c>
      <c r="F307" s="25">
        <v>593</v>
      </c>
      <c r="G307" s="25">
        <v>609</v>
      </c>
      <c r="I307"/>
      <c r="J307"/>
      <c r="K307"/>
      <c r="L307"/>
      <c r="M307"/>
      <c r="N307"/>
      <c r="O307"/>
      <c r="P307"/>
    </row>
    <row r="308" spans="2:22">
      <c r="B308" s="25">
        <v>2107</v>
      </c>
      <c r="C308" s="25" t="s">
        <v>88</v>
      </c>
      <c r="D308" s="25" t="s">
        <v>203</v>
      </c>
      <c r="E308" s="25">
        <v>7</v>
      </c>
      <c r="F308" s="25">
        <v>635</v>
      </c>
      <c r="G308" s="25">
        <v>651</v>
      </c>
      <c r="I308"/>
      <c r="J308"/>
      <c r="K308"/>
      <c r="L308"/>
      <c r="M308"/>
      <c r="N308"/>
      <c r="O308"/>
      <c r="P308"/>
    </row>
    <row r="309" spans="2:22">
      <c r="B309" s="25">
        <v>2108</v>
      </c>
      <c r="C309" s="25" t="s">
        <v>88</v>
      </c>
      <c r="D309" s="25" t="s">
        <v>203</v>
      </c>
      <c r="E309" s="25">
        <v>8</v>
      </c>
      <c r="F309" s="25">
        <v>684</v>
      </c>
      <c r="G309" s="25">
        <v>700</v>
      </c>
      <c r="I309"/>
      <c r="J309"/>
      <c r="K309"/>
      <c r="L309"/>
      <c r="M309"/>
      <c r="N309"/>
      <c r="O309"/>
      <c r="P309"/>
    </row>
    <row r="310" spans="2:22">
      <c r="B310" s="25">
        <v>2109</v>
      </c>
      <c r="C310" s="25" t="s">
        <v>88</v>
      </c>
      <c r="D310" s="25" t="s">
        <v>203</v>
      </c>
      <c r="E310" s="25">
        <v>9</v>
      </c>
      <c r="F310" s="25">
        <v>734</v>
      </c>
      <c r="G310" s="25">
        <v>750</v>
      </c>
      <c r="I310"/>
      <c r="J310"/>
      <c r="K310"/>
      <c r="L310"/>
      <c r="M310"/>
      <c r="N310"/>
      <c r="O310"/>
      <c r="P310"/>
    </row>
    <row r="311" spans="2:22">
      <c r="B311" s="25">
        <v>2110</v>
      </c>
      <c r="C311" s="25" t="s">
        <v>88</v>
      </c>
      <c r="D311" s="25" t="s">
        <v>203</v>
      </c>
      <c r="E311" s="25">
        <v>10</v>
      </c>
      <c r="F311" s="25">
        <v>783</v>
      </c>
      <c r="G311" s="25">
        <v>796</v>
      </c>
      <c r="I311"/>
      <c r="J311"/>
      <c r="K311"/>
      <c r="L311"/>
      <c r="M311"/>
      <c r="N311"/>
      <c r="O311"/>
      <c r="P311"/>
    </row>
    <row r="312" spans="2:22">
      <c r="B312" s="25">
        <v>2111</v>
      </c>
      <c r="C312" s="25" t="s">
        <v>88</v>
      </c>
      <c r="D312" s="25" t="s">
        <v>203</v>
      </c>
      <c r="E312" s="25">
        <v>11</v>
      </c>
      <c r="F312" s="25">
        <v>821</v>
      </c>
      <c r="G312" s="25">
        <v>830</v>
      </c>
      <c r="I312"/>
      <c r="J312"/>
      <c r="K312"/>
      <c r="L312"/>
      <c r="M312"/>
      <c r="N312"/>
      <c r="O312"/>
      <c r="P312"/>
    </row>
    <row r="313" spans="2:22">
      <c r="B313" s="25">
        <v>2201</v>
      </c>
      <c r="C313" s="25" t="s">
        <v>88</v>
      </c>
      <c r="D313" s="25" t="s">
        <v>45</v>
      </c>
      <c r="E313" s="25">
        <v>1</v>
      </c>
      <c r="F313" s="25">
        <v>658</v>
      </c>
      <c r="G313" s="25">
        <v>750</v>
      </c>
      <c r="I313"/>
      <c r="J313"/>
      <c r="K313"/>
      <c r="L313"/>
      <c r="M313"/>
      <c r="N313"/>
      <c r="O313"/>
      <c r="P313"/>
    </row>
    <row r="314" spans="2:22">
      <c r="B314" s="25">
        <v>2202</v>
      </c>
      <c r="C314" s="25" t="s">
        <v>88</v>
      </c>
      <c r="D314" s="25" t="s">
        <v>45</v>
      </c>
      <c r="E314" s="25">
        <v>2</v>
      </c>
      <c r="F314" s="25">
        <v>696</v>
      </c>
      <c r="G314" s="25">
        <v>796</v>
      </c>
      <c r="I314"/>
      <c r="J314"/>
      <c r="K314"/>
      <c r="L314"/>
      <c r="M314"/>
      <c r="N314"/>
      <c r="O314"/>
      <c r="P314"/>
    </row>
    <row r="315" spans="2:22">
      <c r="B315" s="25">
        <v>2203</v>
      </c>
      <c r="C315" s="25" t="s">
        <v>88</v>
      </c>
      <c r="D315" s="25" t="s">
        <v>45</v>
      </c>
      <c r="E315" s="25">
        <v>3</v>
      </c>
      <c r="F315" s="25">
        <v>734</v>
      </c>
      <c r="G315" s="25">
        <v>830</v>
      </c>
      <c r="I315"/>
      <c r="J315"/>
      <c r="K315"/>
      <c r="L315"/>
      <c r="M315"/>
      <c r="N315"/>
      <c r="O315"/>
      <c r="P315"/>
    </row>
    <row r="316" spans="2:22">
      <c r="B316" s="25">
        <v>2204</v>
      </c>
      <c r="C316" s="25" t="s">
        <v>88</v>
      </c>
      <c r="D316" s="25" t="s">
        <v>45</v>
      </c>
      <c r="E316" s="25">
        <v>4</v>
      </c>
      <c r="F316" s="25">
        <v>783</v>
      </c>
      <c r="G316" s="42">
        <v>830</v>
      </c>
      <c r="I316"/>
      <c r="J316"/>
      <c r="K316"/>
      <c r="L316"/>
      <c r="M316"/>
      <c r="N316"/>
      <c r="O316"/>
      <c r="P316"/>
    </row>
    <row r="317" spans="2:22">
      <c r="B317" s="25">
        <v>2205</v>
      </c>
      <c r="C317" s="25" t="s">
        <v>88</v>
      </c>
      <c r="D317" s="25" t="s">
        <v>45</v>
      </c>
      <c r="E317" s="25">
        <v>5</v>
      </c>
      <c r="F317" s="25">
        <v>821</v>
      </c>
      <c r="G317" s="42">
        <v>830</v>
      </c>
      <c r="I317" s="45" t="s">
        <v>204</v>
      </c>
    </row>
    <row r="318" spans="2:22">
      <c r="B318" s="25">
        <v>2217</v>
      </c>
      <c r="C318" s="25" t="s">
        <v>88</v>
      </c>
      <c r="D318" s="25" t="s">
        <v>45</v>
      </c>
      <c r="E318" s="25" t="s">
        <v>111</v>
      </c>
      <c r="F318" s="25">
        <v>881</v>
      </c>
      <c r="G318" s="25">
        <v>890</v>
      </c>
      <c r="I318" s="42" t="s">
        <v>4</v>
      </c>
      <c r="J318" s="42" t="s">
        <v>205</v>
      </c>
      <c r="K318" s="25" t="s">
        <v>4</v>
      </c>
      <c r="L318" s="25" t="s">
        <v>206</v>
      </c>
      <c r="M318" s="25" t="s">
        <v>207</v>
      </c>
      <c r="N318" s="25" t="s">
        <v>208</v>
      </c>
      <c r="O318" s="25" t="s">
        <v>209</v>
      </c>
      <c r="P318" s="25"/>
      <c r="Q318" s="25"/>
      <c r="R318" s="45"/>
      <c r="S318" s="45"/>
      <c r="T318" s="45"/>
      <c r="U318" s="1">
        <v>1</v>
      </c>
      <c r="V318" s="1">
        <f t="shared" ref="V318:V342" si="21">LARGE($Q$319:$Q$396,U318)</f>
        <v>69</v>
      </c>
    </row>
    <row r="319" spans="2:22">
      <c r="B319" s="25">
        <v>2218</v>
      </c>
      <c r="C319" s="25" t="s">
        <v>88</v>
      </c>
      <c r="D319" s="25" t="s">
        <v>45</v>
      </c>
      <c r="E319" s="25" t="s">
        <v>113</v>
      </c>
      <c r="F319" s="25">
        <v>916</v>
      </c>
      <c r="G319" s="25">
        <v>925</v>
      </c>
      <c r="I319" s="42">
        <v>2018</v>
      </c>
      <c r="J319" s="42">
        <v>1.0149999999999999</v>
      </c>
      <c r="K319" s="53">
        <v>1963</v>
      </c>
      <c r="L319">
        <f t="shared" ref="L319:L396" si="22">IF(AND(ISBLANK($E$28),ISBLANK($G$28)),0,IF(OR(K319&lt;SMALL($C$28:$C$52,1),K319&gt;LARGE($C$28:$C$52,1)),0,IF(K319&lt;=2001,VLOOKUP(K319,$C$28:$E$52,3)*0.1524,0)))</f>
        <v>0</v>
      </c>
      <c r="M319">
        <f t="shared" ref="M319:M396" si="23">IF(AND(ISBLANK($E$28),ISBLANK($G$28)),0,IF(OR(K319&lt;SMALL($C$28:$C$52,1),K319&gt;LARGE($C$28:$C$52,1)),0,IF(K319&gt;2001,VLOOKUP(K319,$C$28:$J$52,5),0)))</f>
        <v>0</v>
      </c>
      <c r="N319">
        <f t="shared" ref="N319:N396" si="24">L319+M319</f>
        <v>0</v>
      </c>
      <c r="O319">
        <f t="shared" ref="O319:O396" si="25">IF(K319&gt;2018,N319,N319*VLOOKUP(K319,$I$319:$J$374,2,))</f>
        <v>0</v>
      </c>
      <c r="P319"/>
      <c r="Q319" t="s">
        <v>210</v>
      </c>
      <c r="R319"/>
      <c r="S319" s="67">
        <f ca="1" xml:space="preserve"> MAX(R329,T342)</f>
        <v>0.96</v>
      </c>
      <c r="T319" s="45"/>
      <c r="U319" s="1">
        <v>2</v>
      </c>
      <c r="V319" s="1">
        <f t="shared" si="21"/>
        <v>68</v>
      </c>
    </row>
    <row r="320" spans="2:22">
      <c r="B320" s="25">
        <v>2219</v>
      </c>
      <c r="C320" s="25" t="s">
        <v>88</v>
      </c>
      <c r="D320" s="25" t="s">
        <v>45</v>
      </c>
      <c r="E320" s="25" t="s">
        <v>115</v>
      </c>
      <c r="F320" s="25">
        <v>963</v>
      </c>
      <c r="G320" s="25">
        <v>972</v>
      </c>
      <c r="I320" s="42">
        <v>2017</v>
      </c>
      <c r="J320" s="42">
        <v>1.0229999999999999</v>
      </c>
      <c r="K320" s="53">
        <v>1964</v>
      </c>
      <c r="L320">
        <f t="shared" si="22"/>
        <v>0</v>
      </c>
      <c r="M320">
        <f t="shared" si="23"/>
        <v>0</v>
      </c>
      <c r="N320">
        <f t="shared" si="24"/>
        <v>0</v>
      </c>
      <c r="O320">
        <f t="shared" si="25"/>
        <v>0</v>
      </c>
      <c r="P320"/>
      <c r="Q320" s="39" t="s">
        <v>211</v>
      </c>
      <c r="R320" s="39" t="s">
        <v>212</v>
      </c>
      <c r="S320" s="39" t="s">
        <v>24</v>
      </c>
      <c r="T320" s="39" t="s">
        <v>212</v>
      </c>
      <c r="U320" s="1">
        <v>3</v>
      </c>
      <c r="V320" s="1">
        <f t="shared" si="21"/>
        <v>67</v>
      </c>
    </row>
    <row r="321" spans="2:22">
      <c r="B321" s="25">
        <v>2517</v>
      </c>
      <c r="C321" s="25" t="s">
        <v>88</v>
      </c>
      <c r="D321" s="25" t="s">
        <v>49</v>
      </c>
      <c r="E321" s="25" t="s">
        <v>111</v>
      </c>
      <c r="F321"/>
      <c r="G321" s="25">
        <v>890</v>
      </c>
      <c r="I321" s="42">
        <v>2016</v>
      </c>
      <c r="J321" s="42">
        <v>1.0229999999999999</v>
      </c>
      <c r="K321" s="53">
        <v>1965</v>
      </c>
      <c r="L321">
        <f t="shared" si="22"/>
        <v>0</v>
      </c>
      <c r="M321">
        <f t="shared" si="23"/>
        <v>0</v>
      </c>
      <c r="N321">
        <f t="shared" si="24"/>
        <v>0</v>
      </c>
      <c r="O321">
        <f t="shared" si="25"/>
        <v>0</v>
      </c>
      <c r="P321"/>
      <c r="Q321" s="39">
        <v>62</v>
      </c>
      <c r="R321" s="39">
        <v>0.78</v>
      </c>
      <c r="S321" s="39">
        <v>152</v>
      </c>
      <c r="T321" s="41">
        <v>0.78</v>
      </c>
      <c r="U321" s="1">
        <v>4</v>
      </c>
      <c r="V321" s="1">
        <f t="shared" si="21"/>
        <v>66</v>
      </c>
    </row>
    <row r="322" spans="2:22">
      <c r="B322" s="25">
        <v>2518</v>
      </c>
      <c r="C322" s="25" t="s">
        <v>88</v>
      </c>
      <c r="D322" s="25" t="s">
        <v>49</v>
      </c>
      <c r="E322" s="25" t="s">
        <v>113</v>
      </c>
      <c r="F322"/>
      <c r="G322" s="25">
        <v>925</v>
      </c>
      <c r="I322" s="42">
        <v>2015</v>
      </c>
      <c r="J322" s="42">
        <v>1.024</v>
      </c>
      <c r="K322" s="53">
        <v>1966</v>
      </c>
      <c r="L322">
        <f t="shared" si="22"/>
        <v>0</v>
      </c>
      <c r="M322">
        <f t="shared" si="23"/>
        <v>0</v>
      </c>
      <c r="N322">
        <f t="shared" si="24"/>
        <v>0</v>
      </c>
      <c r="O322">
        <f t="shared" si="25"/>
        <v>0</v>
      </c>
      <c r="P322"/>
      <c r="Q322" s="39">
        <v>63</v>
      </c>
      <c r="R322" s="39">
        <v>0.83</v>
      </c>
      <c r="S322" s="39">
        <v>153</v>
      </c>
      <c r="T322" s="41">
        <v>0.79250000000000009</v>
      </c>
      <c r="U322" s="1">
        <v>5</v>
      </c>
      <c r="V322" s="1">
        <f t="shared" si="21"/>
        <v>65</v>
      </c>
    </row>
    <row r="323" spans="2:22">
      <c r="B323" s="25">
        <v>2519</v>
      </c>
      <c r="C323" s="25" t="s">
        <v>88</v>
      </c>
      <c r="D323" s="25" t="s">
        <v>49</v>
      </c>
      <c r="E323" s="25" t="s">
        <v>115</v>
      </c>
      <c r="F323"/>
      <c r="G323" s="25">
        <v>972</v>
      </c>
      <c r="I323" s="42">
        <v>2014</v>
      </c>
      <c r="J323" s="42">
        <v>1.024</v>
      </c>
      <c r="K323" s="53">
        <v>1967</v>
      </c>
      <c r="L323">
        <f t="shared" si="22"/>
        <v>0</v>
      </c>
      <c r="M323">
        <f t="shared" si="23"/>
        <v>0</v>
      </c>
      <c r="N323">
        <f t="shared" si="24"/>
        <v>0</v>
      </c>
      <c r="O323">
        <f t="shared" si="25"/>
        <v>0</v>
      </c>
      <c r="P323"/>
      <c r="Q323" s="39">
        <v>64</v>
      </c>
      <c r="R323" s="39">
        <v>0.88</v>
      </c>
      <c r="S323" s="39">
        <v>154</v>
      </c>
      <c r="T323" s="41">
        <v>0.80500000000000005</v>
      </c>
      <c r="U323" s="1">
        <v>6</v>
      </c>
      <c r="V323" s="1">
        <f t="shared" si="21"/>
        <v>64</v>
      </c>
    </row>
    <row r="324" spans="2:22">
      <c r="B324" s="25">
        <v>2520</v>
      </c>
      <c r="C324" s="25" t="s">
        <v>88</v>
      </c>
      <c r="D324" s="25" t="s">
        <v>49</v>
      </c>
      <c r="E324" s="25" t="s">
        <v>117</v>
      </c>
      <c r="F324"/>
      <c r="G324" s="25">
        <v>972</v>
      </c>
      <c r="I324" s="42">
        <v>2013</v>
      </c>
      <c r="J324" s="42">
        <v>1.0369999999999999</v>
      </c>
      <c r="K324" s="53">
        <v>1968</v>
      </c>
      <c r="L324">
        <f t="shared" si="22"/>
        <v>0</v>
      </c>
      <c r="M324">
        <f t="shared" si="23"/>
        <v>0</v>
      </c>
      <c r="N324">
        <f t="shared" si="24"/>
        <v>0</v>
      </c>
      <c r="O324">
        <f t="shared" si="25"/>
        <v>0</v>
      </c>
      <c r="P324"/>
      <c r="Q324" s="39">
        <v>65</v>
      </c>
      <c r="R324" s="39">
        <v>0.92</v>
      </c>
      <c r="S324" s="39">
        <v>155</v>
      </c>
      <c r="T324" s="41">
        <v>0.8175</v>
      </c>
      <c r="U324" s="1">
        <v>7</v>
      </c>
      <c r="V324" s="1">
        <f t="shared" si="21"/>
        <v>63</v>
      </c>
    </row>
    <row r="325" spans="2:22">
      <c r="B325" s="25">
        <v>2521</v>
      </c>
      <c r="C325" s="25" t="s">
        <v>88</v>
      </c>
      <c r="D325" s="25" t="s">
        <v>49</v>
      </c>
      <c r="E325" s="25" t="s">
        <v>119</v>
      </c>
      <c r="F325"/>
      <c r="G325" s="25">
        <v>1013</v>
      </c>
      <c r="I325" s="42">
        <v>2012</v>
      </c>
      <c r="J325" s="42">
        <v>1.0580000000000001</v>
      </c>
      <c r="K325" s="53">
        <v>1969</v>
      </c>
      <c r="L325">
        <f t="shared" si="22"/>
        <v>0</v>
      </c>
      <c r="M325">
        <f t="shared" si="23"/>
        <v>0</v>
      </c>
      <c r="N325">
        <f t="shared" si="24"/>
        <v>0</v>
      </c>
      <c r="O325">
        <f t="shared" si="25"/>
        <v>0</v>
      </c>
      <c r="P325"/>
      <c r="Q325" s="39">
        <v>66</v>
      </c>
      <c r="R325" s="39">
        <v>0.96</v>
      </c>
      <c r="S325" s="39">
        <v>156</v>
      </c>
      <c r="T325" s="41">
        <v>0.83</v>
      </c>
      <c r="U325" s="1">
        <v>8</v>
      </c>
      <c r="V325" s="1">
        <f t="shared" si="21"/>
        <v>62</v>
      </c>
    </row>
    <row r="326" spans="2:22">
      <c r="B326" s="25">
        <v>2522</v>
      </c>
      <c r="C326" s="25" t="s">
        <v>88</v>
      </c>
      <c r="D326" s="25" t="s">
        <v>49</v>
      </c>
      <c r="E326" s="25" t="s">
        <v>50</v>
      </c>
      <c r="F326"/>
      <c r="G326" s="25">
        <v>1067</v>
      </c>
      <c r="I326" s="42">
        <v>2011</v>
      </c>
      <c r="J326" s="42">
        <v>1.079</v>
      </c>
      <c r="K326" s="53">
        <v>1970</v>
      </c>
      <c r="L326">
        <f t="shared" si="22"/>
        <v>0</v>
      </c>
      <c r="M326">
        <f t="shared" si="23"/>
        <v>0</v>
      </c>
      <c r="N326">
        <f t="shared" si="24"/>
        <v>0</v>
      </c>
      <c r="O326">
        <f t="shared" si="25"/>
        <v>0</v>
      </c>
      <c r="P326"/>
      <c r="Q326" s="39">
        <v>67</v>
      </c>
      <c r="R326" s="39">
        <v>1</v>
      </c>
      <c r="S326" s="39">
        <v>157</v>
      </c>
      <c r="T326" s="41">
        <v>0.84250000000000003</v>
      </c>
      <c r="U326" s="1">
        <v>9</v>
      </c>
      <c r="V326" s="1" t="e">
        <f t="shared" si="21"/>
        <v>#NUM!</v>
      </c>
    </row>
    <row r="327" spans="2:22">
      <c r="B327" s="25">
        <v>3101</v>
      </c>
      <c r="C327" s="25" t="s">
        <v>43</v>
      </c>
      <c r="D327" s="25" t="s">
        <v>203</v>
      </c>
      <c r="E327" s="25">
        <v>1</v>
      </c>
      <c r="F327" s="25">
        <v>454</v>
      </c>
      <c r="G327" s="25">
        <v>468</v>
      </c>
      <c r="I327" s="42">
        <v>2010</v>
      </c>
      <c r="J327" s="42">
        <v>1.089</v>
      </c>
      <c r="K327" s="53">
        <v>1971</v>
      </c>
      <c r="L327">
        <f t="shared" si="22"/>
        <v>0</v>
      </c>
      <c r="M327">
        <f t="shared" si="23"/>
        <v>0</v>
      </c>
      <c r="N327">
        <f t="shared" si="24"/>
        <v>0</v>
      </c>
      <c r="O327">
        <f t="shared" si="25"/>
        <v>0</v>
      </c>
      <c r="P327"/>
      <c r="Q327" s="39">
        <v>68</v>
      </c>
      <c r="R327" s="39">
        <v>1</v>
      </c>
      <c r="S327" s="39">
        <v>158</v>
      </c>
      <c r="T327" s="41">
        <v>0.85499999999999998</v>
      </c>
      <c r="U327" s="1">
        <v>10</v>
      </c>
      <c r="V327" s="1" t="e">
        <f t="shared" si="21"/>
        <v>#NUM!</v>
      </c>
    </row>
    <row r="328" spans="2:22">
      <c r="B328" s="25">
        <v>3102</v>
      </c>
      <c r="C328" s="25" t="s">
        <v>43</v>
      </c>
      <c r="D328" s="25" t="s">
        <v>203</v>
      </c>
      <c r="E328" s="25">
        <v>2</v>
      </c>
      <c r="F328" s="25">
        <v>511</v>
      </c>
      <c r="G328" s="25">
        <v>525</v>
      </c>
      <c r="I328" s="42">
        <v>2009</v>
      </c>
      <c r="J328" s="42">
        <v>1.099</v>
      </c>
      <c r="K328" s="53">
        <v>1972</v>
      </c>
      <c r="L328">
        <f t="shared" si="22"/>
        <v>0</v>
      </c>
      <c r="M328">
        <f t="shared" si="23"/>
        <v>0</v>
      </c>
      <c r="N328">
        <f t="shared" si="24"/>
        <v>0</v>
      </c>
      <c r="O328">
        <f t="shared" si="25"/>
        <v>0</v>
      </c>
      <c r="P328"/>
      <c r="Q328" s="39">
        <v>69</v>
      </c>
      <c r="R328" s="39">
        <v>1</v>
      </c>
      <c r="S328" s="39">
        <v>159</v>
      </c>
      <c r="T328" s="41">
        <v>0.86750000000000005</v>
      </c>
      <c r="U328" s="1">
        <v>11</v>
      </c>
      <c r="V328" s="1" t="e">
        <f t="shared" si="21"/>
        <v>#NUM!</v>
      </c>
    </row>
    <row r="329" spans="2:22">
      <c r="B329" s="25">
        <v>3103</v>
      </c>
      <c r="C329" s="25" t="s">
        <v>43</v>
      </c>
      <c r="D329" s="25" t="s">
        <v>203</v>
      </c>
      <c r="E329" s="25">
        <v>3</v>
      </c>
      <c r="F329" s="25">
        <v>564</v>
      </c>
      <c r="G329" s="25">
        <v>578</v>
      </c>
      <c r="I329" s="42">
        <v>2008</v>
      </c>
      <c r="J329" s="42">
        <v>1.1080000000000001</v>
      </c>
      <c r="K329" s="53">
        <v>1973</v>
      </c>
      <c r="L329">
        <f t="shared" si="22"/>
        <v>0</v>
      </c>
      <c r="M329">
        <f t="shared" si="23"/>
        <v>0</v>
      </c>
      <c r="N329">
        <f t="shared" si="24"/>
        <v>0</v>
      </c>
      <c r="O329">
        <f t="shared" si="25"/>
        <v>0</v>
      </c>
      <c r="P329"/>
      <c r="Q329"/>
      <c r="R329" s="46">
        <f>VLOOKUP(F89,Q321:R328,2)</f>
        <v>0.78</v>
      </c>
      <c r="S329" s="39">
        <v>160</v>
      </c>
      <c r="T329" s="41">
        <v>0.88</v>
      </c>
      <c r="U329" s="1">
        <v>12</v>
      </c>
      <c r="V329" s="1" t="e">
        <f t="shared" si="21"/>
        <v>#NUM!</v>
      </c>
    </row>
    <row r="330" spans="2:22">
      <c r="B330" s="25">
        <v>3104</v>
      </c>
      <c r="C330" s="25" t="s">
        <v>43</v>
      </c>
      <c r="D330" s="25" t="s">
        <v>203</v>
      </c>
      <c r="E330" s="25">
        <v>4</v>
      </c>
      <c r="F330" s="25">
        <v>623</v>
      </c>
      <c r="G330" s="25">
        <v>637</v>
      </c>
      <c r="I330" s="42">
        <v>2007</v>
      </c>
      <c r="J330" s="42">
        <v>1.1200000000000001</v>
      </c>
      <c r="K330" s="53">
        <v>1974</v>
      </c>
      <c r="L330">
        <f t="shared" si="22"/>
        <v>0</v>
      </c>
      <c r="M330">
        <f t="shared" si="23"/>
        <v>0</v>
      </c>
      <c r="N330">
        <f t="shared" si="24"/>
        <v>0</v>
      </c>
      <c r="O330">
        <f t="shared" si="25"/>
        <v>0</v>
      </c>
      <c r="P330"/>
      <c r="Q330"/>
      <c r="R330" s="45"/>
      <c r="S330" s="39">
        <v>161</v>
      </c>
      <c r="T330" s="41">
        <v>0.89</v>
      </c>
      <c r="U330" s="1">
        <v>13</v>
      </c>
      <c r="V330" s="1" t="e">
        <f t="shared" si="21"/>
        <v>#NUM!</v>
      </c>
    </row>
    <row r="331" spans="2:22">
      <c r="B331" s="25">
        <v>3105</v>
      </c>
      <c r="C331" s="25" t="s">
        <v>43</v>
      </c>
      <c r="D331" s="25" t="s">
        <v>203</v>
      </c>
      <c r="E331" s="25">
        <v>5</v>
      </c>
      <c r="F331" s="25">
        <v>673</v>
      </c>
      <c r="G331" s="25">
        <v>687</v>
      </c>
      <c r="I331" s="42">
        <v>2006</v>
      </c>
      <c r="J331" s="42">
        <v>1.139</v>
      </c>
      <c r="K331" s="53">
        <v>1975</v>
      </c>
      <c r="L331">
        <f t="shared" si="22"/>
        <v>0</v>
      </c>
      <c r="M331">
        <f t="shared" si="23"/>
        <v>0</v>
      </c>
      <c r="N331">
        <f t="shared" si="24"/>
        <v>0</v>
      </c>
      <c r="O331">
        <f t="shared" si="25"/>
        <v>0</v>
      </c>
      <c r="P331"/>
      <c r="Q331"/>
      <c r="R331" s="45"/>
      <c r="S331" s="39">
        <v>162</v>
      </c>
      <c r="T331" s="41">
        <v>0.9</v>
      </c>
      <c r="U331" s="1">
        <v>14</v>
      </c>
      <c r="V331" s="1" t="e">
        <f t="shared" si="21"/>
        <v>#NUM!</v>
      </c>
    </row>
    <row r="332" spans="2:22">
      <c r="B332" s="25">
        <v>3106</v>
      </c>
      <c r="C332" s="25" t="s">
        <v>43</v>
      </c>
      <c r="D332" s="25" t="s">
        <v>203</v>
      </c>
      <c r="E332" s="25">
        <v>6</v>
      </c>
      <c r="F332" s="25">
        <v>719</v>
      </c>
      <c r="G332" s="25">
        <v>733</v>
      </c>
      <c r="I332" s="42">
        <v>2005</v>
      </c>
      <c r="J332" s="42">
        <v>1.1599999999999999</v>
      </c>
      <c r="K332" s="53">
        <v>1976</v>
      </c>
      <c r="L332">
        <f t="shared" si="22"/>
        <v>0</v>
      </c>
      <c r="M332">
        <f t="shared" si="23"/>
        <v>0</v>
      </c>
      <c r="N332">
        <f t="shared" si="24"/>
        <v>0</v>
      </c>
      <c r="O332">
        <f t="shared" si="25"/>
        <v>0</v>
      </c>
      <c r="P332"/>
      <c r="Q332"/>
      <c r="R332" s="45"/>
      <c r="S332" s="39">
        <v>163</v>
      </c>
      <c r="T332" s="41">
        <v>0.91</v>
      </c>
      <c r="U332" s="1">
        <v>15</v>
      </c>
      <c r="V332" s="1" t="e">
        <f t="shared" si="21"/>
        <v>#NUM!</v>
      </c>
    </row>
    <row r="333" spans="2:22">
      <c r="B333" s="25">
        <v>3107</v>
      </c>
      <c r="C333" s="25" t="s">
        <v>43</v>
      </c>
      <c r="D333" s="25" t="s">
        <v>203</v>
      </c>
      <c r="E333" s="25">
        <v>7</v>
      </c>
      <c r="F333" s="25">
        <v>749</v>
      </c>
      <c r="G333" s="25">
        <v>763</v>
      </c>
      <c r="I333" s="42">
        <v>2004</v>
      </c>
      <c r="J333" s="42">
        <v>1.18</v>
      </c>
      <c r="K333" s="53">
        <v>1977</v>
      </c>
      <c r="L333">
        <f t="shared" si="22"/>
        <v>0</v>
      </c>
      <c r="M333">
        <f t="shared" si="23"/>
        <v>0</v>
      </c>
      <c r="N333">
        <f t="shared" si="24"/>
        <v>0</v>
      </c>
      <c r="O333">
        <f t="shared" si="25"/>
        <v>0</v>
      </c>
      <c r="P333"/>
      <c r="Q333"/>
      <c r="R333" s="45"/>
      <c r="S333" s="39">
        <v>164</v>
      </c>
      <c r="T333" s="41">
        <v>0.92</v>
      </c>
      <c r="U333" s="1">
        <v>16</v>
      </c>
      <c r="V333" s="1" t="e">
        <f t="shared" si="21"/>
        <v>#NUM!</v>
      </c>
    </row>
    <row r="334" spans="2:22">
      <c r="B334" s="25">
        <v>3108</v>
      </c>
      <c r="C334" s="25" t="s">
        <v>43</v>
      </c>
      <c r="D334" s="25" t="s">
        <v>203</v>
      </c>
      <c r="E334" s="25">
        <v>8</v>
      </c>
      <c r="F334" s="25">
        <v>783</v>
      </c>
      <c r="G334" s="25">
        <v>797</v>
      </c>
      <c r="I334" s="42">
        <v>2003</v>
      </c>
      <c r="J334" s="42">
        <v>1.1990000000000001</v>
      </c>
      <c r="K334" s="53">
        <v>1978</v>
      </c>
      <c r="L334">
        <f t="shared" si="22"/>
        <v>0</v>
      </c>
      <c r="M334">
        <f t="shared" si="23"/>
        <v>0</v>
      </c>
      <c r="N334">
        <f t="shared" si="24"/>
        <v>0</v>
      </c>
      <c r="O334">
        <f t="shared" si="25"/>
        <v>0</v>
      </c>
      <c r="P334"/>
      <c r="Q334"/>
      <c r="R334" s="45"/>
      <c r="S334" s="39">
        <v>165</v>
      </c>
      <c r="T334" s="41">
        <v>0.93</v>
      </c>
      <c r="U334" s="1">
        <v>17</v>
      </c>
      <c r="V334" s="1" t="e">
        <f t="shared" si="21"/>
        <v>#NUM!</v>
      </c>
    </row>
    <row r="335" spans="2:22">
      <c r="B335" s="25">
        <v>3109</v>
      </c>
      <c r="C335" s="25" t="s">
        <v>43</v>
      </c>
      <c r="D335" s="25" t="s">
        <v>203</v>
      </c>
      <c r="E335" s="25">
        <v>9</v>
      </c>
      <c r="F335" s="25">
        <v>821</v>
      </c>
      <c r="G335" s="25">
        <v>830</v>
      </c>
      <c r="I335" s="42">
        <v>2002</v>
      </c>
      <c r="J335" s="42">
        <v>1.2190000000000001</v>
      </c>
      <c r="K335" s="53">
        <v>1979</v>
      </c>
      <c r="L335">
        <f t="shared" si="22"/>
        <v>0</v>
      </c>
      <c r="M335">
        <f t="shared" si="23"/>
        <v>0</v>
      </c>
      <c r="N335">
        <f t="shared" si="24"/>
        <v>0</v>
      </c>
      <c r="O335">
        <f t="shared" si="25"/>
        <v>0</v>
      </c>
      <c r="P335"/>
      <c r="Q335"/>
      <c r="R335" s="45"/>
      <c r="S335" s="39">
        <v>166</v>
      </c>
      <c r="T335" s="41">
        <v>0.94</v>
      </c>
      <c r="U335" s="1">
        <v>18</v>
      </c>
      <c r="V335" s="1" t="e">
        <f t="shared" si="21"/>
        <v>#NUM!</v>
      </c>
    </row>
    <row r="336" spans="2:22">
      <c r="B336" s="25">
        <v>3201</v>
      </c>
      <c r="C336" s="25" t="s">
        <v>43</v>
      </c>
      <c r="D336" s="25" t="s">
        <v>45</v>
      </c>
      <c r="E336" s="25">
        <v>1</v>
      </c>
      <c r="F336" s="25">
        <v>658</v>
      </c>
      <c r="G336" s="25">
        <v>672</v>
      </c>
      <c r="I336" s="42">
        <v>2001</v>
      </c>
      <c r="J336" s="42">
        <v>1.246</v>
      </c>
      <c r="K336" s="53">
        <v>1980</v>
      </c>
      <c r="L336">
        <f t="shared" si="22"/>
        <v>0</v>
      </c>
      <c r="M336">
        <f t="shared" si="23"/>
        <v>0</v>
      </c>
      <c r="N336">
        <f t="shared" si="24"/>
        <v>0</v>
      </c>
      <c r="O336">
        <f t="shared" si="25"/>
        <v>0</v>
      </c>
      <c r="P336"/>
      <c r="Q336"/>
      <c r="R336" s="45"/>
      <c r="S336" s="39">
        <v>167</v>
      </c>
      <c r="T336" s="41">
        <v>0.95</v>
      </c>
      <c r="U336" s="1">
        <v>19</v>
      </c>
      <c r="V336" s="1" t="e">
        <f t="shared" si="21"/>
        <v>#NUM!</v>
      </c>
    </row>
    <row r="337" spans="2:23">
      <c r="B337" s="25">
        <v>3202</v>
      </c>
      <c r="C337" s="25" t="s">
        <v>43</v>
      </c>
      <c r="D337" s="25" t="s">
        <v>45</v>
      </c>
      <c r="E337" s="25">
        <v>2</v>
      </c>
      <c r="F337" s="25">
        <v>696</v>
      </c>
      <c r="G337" s="25">
        <v>710</v>
      </c>
      <c r="I337" s="42">
        <v>2000</v>
      </c>
      <c r="J337" s="42">
        <v>1.2709999999999999</v>
      </c>
      <c r="K337" s="53">
        <v>1981</v>
      </c>
      <c r="L337">
        <f t="shared" si="22"/>
        <v>0</v>
      </c>
      <c r="M337">
        <f t="shared" si="23"/>
        <v>0</v>
      </c>
      <c r="N337">
        <f t="shared" si="24"/>
        <v>0</v>
      </c>
      <c r="O337">
        <f t="shared" si="25"/>
        <v>0</v>
      </c>
      <c r="P337"/>
      <c r="Q337"/>
      <c r="R337" s="45"/>
      <c r="S337" s="39">
        <v>168</v>
      </c>
      <c r="T337" s="41">
        <v>0.96</v>
      </c>
      <c r="U337" s="1">
        <v>20</v>
      </c>
      <c r="V337" s="1" t="e">
        <f t="shared" si="21"/>
        <v>#NUM!</v>
      </c>
    </row>
    <row r="338" spans="2:23">
      <c r="B338" s="25">
        <v>3203</v>
      </c>
      <c r="C338" s="25" t="s">
        <v>43</v>
      </c>
      <c r="D338" s="25" t="s">
        <v>45</v>
      </c>
      <c r="E338" s="25">
        <v>3</v>
      </c>
      <c r="F338" s="25">
        <v>734</v>
      </c>
      <c r="G338" s="25">
        <v>748</v>
      </c>
      <c r="I338" s="42">
        <v>1999</v>
      </c>
      <c r="J338" s="42">
        <v>1.278</v>
      </c>
      <c r="K338" s="53">
        <v>1982</v>
      </c>
      <c r="L338">
        <f t="shared" si="22"/>
        <v>0</v>
      </c>
      <c r="M338">
        <f t="shared" si="23"/>
        <v>0</v>
      </c>
      <c r="N338">
        <f t="shared" si="24"/>
        <v>0</v>
      </c>
      <c r="O338">
        <f t="shared" si="25"/>
        <v>0</v>
      </c>
      <c r="P338"/>
      <c r="Q338"/>
      <c r="R338" s="45"/>
      <c r="S338" s="39">
        <v>169</v>
      </c>
      <c r="T338" s="41">
        <v>0.97</v>
      </c>
      <c r="U338" s="1">
        <v>21</v>
      </c>
      <c r="V338" s="1" t="e">
        <f t="shared" si="21"/>
        <v>#NUM!</v>
      </c>
    </row>
    <row r="339" spans="2:23">
      <c r="B339" s="25">
        <v>3204</v>
      </c>
      <c r="C339" s="25" t="s">
        <v>43</v>
      </c>
      <c r="D339" s="25" t="s">
        <v>45</v>
      </c>
      <c r="E339" s="25">
        <v>4</v>
      </c>
      <c r="F339" s="25">
        <v>776</v>
      </c>
      <c r="G339" s="25">
        <v>790</v>
      </c>
      <c r="I339" s="42">
        <v>1998</v>
      </c>
      <c r="J339" s="42">
        <v>1.2929999999999999</v>
      </c>
      <c r="K339" s="53">
        <v>1983</v>
      </c>
      <c r="L339">
        <f t="shared" si="22"/>
        <v>0</v>
      </c>
      <c r="M339">
        <f t="shared" si="23"/>
        <v>0</v>
      </c>
      <c r="N339">
        <f t="shared" si="24"/>
        <v>0</v>
      </c>
      <c r="O339">
        <f t="shared" si="25"/>
        <v>0</v>
      </c>
      <c r="P339"/>
      <c r="Q339"/>
      <c r="R339" s="45"/>
      <c r="S339" s="39">
        <v>170</v>
      </c>
      <c r="T339" s="41">
        <v>0.98</v>
      </c>
      <c r="U339" s="1">
        <v>22</v>
      </c>
      <c r="V339" s="1" t="e">
        <f t="shared" si="21"/>
        <v>#NUM!</v>
      </c>
    </row>
    <row r="340" spans="2:23">
      <c r="B340" s="25">
        <v>3205</v>
      </c>
      <c r="C340" s="25" t="s">
        <v>43</v>
      </c>
      <c r="D340" s="25" t="s">
        <v>45</v>
      </c>
      <c r="E340" s="25">
        <v>5</v>
      </c>
      <c r="F340" s="25">
        <v>821</v>
      </c>
      <c r="G340" s="25">
        <v>830</v>
      </c>
      <c r="I340" s="42">
        <v>1997</v>
      </c>
      <c r="J340" s="42">
        <v>1.3069999999999999</v>
      </c>
      <c r="K340" s="53">
        <v>1984</v>
      </c>
      <c r="L340">
        <f t="shared" si="22"/>
        <v>0</v>
      </c>
      <c r="M340">
        <f t="shared" si="23"/>
        <v>0</v>
      </c>
      <c r="N340">
        <f t="shared" si="24"/>
        <v>0</v>
      </c>
      <c r="O340">
        <f t="shared" si="25"/>
        <v>0</v>
      </c>
      <c r="P340"/>
      <c r="Q340"/>
      <c r="R340"/>
      <c r="S340" s="39">
        <v>171</v>
      </c>
      <c r="T340" s="41">
        <v>0.99</v>
      </c>
      <c r="U340" s="1">
        <v>23</v>
      </c>
      <c r="V340" s="1" t="e">
        <f t="shared" si="21"/>
        <v>#NUM!</v>
      </c>
    </row>
    <row r="341" spans="2:23">
      <c r="B341" s="25">
        <v>3217</v>
      </c>
      <c r="C341" s="25" t="s">
        <v>43</v>
      </c>
      <c r="D341" s="25" t="s">
        <v>45</v>
      </c>
      <c r="E341" s="25" t="s">
        <v>111</v>
      </c>
      <c r="F341" s="25">
        <v>881</v>
      </c>
      <c r="G341" s="25">
        <v>890</v>
      </c>
      <c r="I341" s="42">
        <v>1996</v>
      </c>
      <c r="J341" s="42">
        <v>1.321</v>
      </c>
      <c r="K341" s="53">
        <v>1985</v>
      </c>
      <c r="L341">
        <f t="shared" si="22"/>
        <v>0</v>
      </c>
      <c r="M341">
        <f t="shared" si="23"/>
        <v>0</v>
      </c>
      <c r="N341">
        <f t="shared" si="24"/>
        <v>0</v>
      </c>
      <c r="O341">
        <f t="shared" si="25"/>
        <v>0</v>
      </c>
      <c r="P341"/>
      <c r="Q341"/>
      <c r="R341"/>
      <c r="S341" s="39">
        <v>172</v>
      </c>
      <c r="T341" s="41">
        <v>1</v>
      </c>
      <c r="U341" s="1">
        <v>24</v>
      </c>
      <c r="V341" s="1" t="e">
        <f t="shared" si="21"/>
        <v>#NUM!</v>
      </c>
    </row>
    <row r="342" spans="2:23">
      <c r="B342" s="25">
        <v>3218</v>
      </c>
      <c r="C342" s="25" t="s">
        <v>43</v>
      </c>
      <c r="D342" s="25" t="s">
        <v>45</v>
      </c>
      <c r="E342" s="25" t="s">
        <v>113</v>
      </c>
      <c r="F342" s="25">
        <v>916</v>
      </c>
      <c r="G342" s="25">
        <v>925</v>
      </c>
      <c r="I342" s="42">
        <v>1995</v>
      </c>
      <c r="J342" s="42">
        <v>1.3540000000000001</v>
      </c>
      <c r="K342" s="53">
        <v>1986</v>
      </c>
      <c r="L342">
        <f t="shared" si="22"/>
        <v>304.8</v>
      </c>
      <c r="M342">
        <f t="shared" si="23"/>
        <v>0</v>
      </c>
      <c r="N342">
        <f t="shared" si="24"/>
        <v>304.8</v>
      </c>
      <c r="O342">
        <f t="shared" si="25"/>
        <v>505.05360000000002</v>
      </c>
      <c r="P342"/>
      <c r="Q342"/>
      <c r="R342" s="45"/>
      <c r="T342" s="45">
        <f ca="1">IF(I265&lt;152,0.78,VLOOKUP(I265,S321:T341,2))</f>
        <v>0.96</v>
      </c>
      <c r="U342" s="1">
        <v>25</v>
      </c>
      <c r="V342" s="1" t="e">
        <f t="shared" si="21"/>
        <v>#NUM!</v>
      </c>
    </row>
    <row r="343" spans="2:23">
      <c r="B343" s="25">
        <v>3219</v>
      </c>
      <c r="C343" s="25" t="s">
        <v>43</v>
      </c>
      <c r="D343" s="25" t="s">
        <v>45</v>
      </c>
      <c r="E343" s="25" t="s">
        <v>115</v>
      </c>
      <c r="F343" s="25">
        <v>963</v>
      </c>
      <c r="G343" s="25">
        <v>972</v>
      </c>
      <c r="I343" s="42">
        <v>1994</v>
      </c>
      <c r="J343" s="42">
        <v>1.37</v>
      </c>
      <c r="K343" s="53">
        <v>1987</v>
      </c>
      <c r="L343">
        <f t="shared" si="22"/>
        <v>228.60000000000002</v>
      </c>
      <c r="M343">
        <f t="shared" si="23"/>
        <v>0</v>
      </c>
      <c r="N343">
        <f t="shared" si="24"/>
        <v>228.60000000000002</v>
      </c>
      <c r="O343">
        <f t="shared" si="25"/>
        <v>365.07420000000002</v>
      </c>
      <c r="P343"/>
      <c r="Q343" s="45" t="s">
        <v>213</v>
      </c>
      <c r="R343" s="45">
        <v>0.48031000000000001</v>
      </c>
      <c r="S343" s="45" t="s">
        <v>207</v>
      </c>
      <c r="T343" s="45"/>
      <c r="V343" s="68" t="e">
        <f>AVERAGE(V318:V342)</f>
        <v>#NUM!</v>
      </c>
    </row>
    <row r="344" spans="2:23">
      <c r="B344" s="25">
        <v>3520</v>
      </c>
      <c r="C344" s="25" t="s">
        <v>43</v>
      </c>
      <c r="D344" s="25" t="s">
        <v>49</v>
      </c>
      <c r="E344" s="25" t="s">
        <v>117</v>
      </c>
      <c r="F344"/>
      <c r="G344" s="25">
        <v>972</v>
      </c>
      <c r="I344" s="42">
        <v>1993</v>
      </c>
      <c r="J344" s="42">
        <v>1.395</v>
      </c>
      <c r="K344" s="53">
        <v>1988</v>
      </c>
      <c r="L344">
        <f t="shared" si="22"/>
        <v>914.40000000000009</v>
      </c>
      <c r="M344">
        <f t="shared" si="23"/>
        <v>0</v>
      </c>
      <c r="N344">
        <f t="shared" si="24"/>
        <v>914.40000000000009</v>
      </c>
      <c r="O344">
        <f t="shared" si="25"/>
        <v>1426.4640000000002</v>
      </c>
      <c r="P344"/>
      <c r="Q344" s="45" t="s">
        <v>214</v>
      </c>
      <c r="R344" s="45">
        <v>4.9580000000000002</v>
      </c>
      <c r="S344" s="45" t="s">
        <v>207</v>
      </c>
      <c r="T344" s="45"/>
      <c r="V344" s="69" t="e">
        <f>V343*S342/2/12</f>
        <v>#NUM!</v>
      </c>
    </row>
    <row r="345" spans="2:23">
      <c r="B345" s="25">
        <v>3521</v>
      </c>
      <c r="C345" s="25" t="s">
        <v>43</v>
      </c>
      <c r="D345" s="25" t="s">
        <v>49</v>
      </c>
      <c r="E345" s="25" t="s">
        <v>119</v>
      </c>
      <c r="F345"/>
      <c r="G345" s="25">
        <v>1013</v>
      </c>
      <c r="I345" s="42">
        <v>1992</v>
      </c>
      <c r="J345" s="42">
        <v>1.395</v>
      </c>
      <c r="K345" s="53">
        <v>1989</v>
      </c>
      <c r="L345">
        <f t="shared" si="22"/>
        <v>1524</v>
      </c>
      <c r="M345">
        <f t="shared" si="23"/>
        <v>0</v>
      </c>
      <c r="N345">
        <f t="shared" si="24"/>
        <v>1524</v>
      </c>
      <c r="O345">
        <f t="shared" si="25"/>
        <v>2292.096</v>
      </c>
      <c r="P345"/>
      <c r="Q345" s="45" t="s">
        <v>215</v>
      </c>
      <c r="R345" s="45"/>
      <c r="S345" s="45">
        <f>I18</f>
        <v>0</v>
      </c>
      <c r="T345" s="45"/>
    </row>
    <row r="346" spans="2:23">
      <c r="B346" s="25">
        <v>3522</v>
      </c>
      <c r="C346" s="25" t="s">
        <v>43</v>
      </c>
      <c r="D346" s="25" t="s">
        <v>49</v>
      </c>
      <c r="E346" s="25" t="s">
        <v>50</v>
      </c>
      <c r="F346"/>
      <c r="G346" s="25">
        <v>1067</v>
      </c>
      <c r="I346" s="42">
        <v>1991</v>
      </c>
      <c r="J346" s="42">
        <v>1.4410000000000001</v>
      </c>
      <c r="K346" s="53">
        <v>1990</v>
      </c>
      <c r="L346">
        <f t="shared" si="22"/>
        <v>2286</v>
      </c>
      <c r="M346">
        <f t="shared" si="23"/>
        <v>0</v>
      </c>
      <c r="N346">
        <f t="shared" si="24"/>
        <v>2286</v>
      </c>
      <c r="O346">
        <f t="shared" si="25"/>
        <v>3346.7039999999997</v>
      </c>
      <c r="P346"/>
      <c r="Q346" s="45" t="s">
        <v>216</v>
      </c>
      <c r="R346"/>
      <c r="S346" s="70">
        <f ca="1">R343*S345*S319/12</f>
        <v>0</v>
      </c>
      <c r="T346" s="45"/>
    </row>
    <row r="347" spans="2:23">
      <c r="B347" s="25">
        <v>4301</v>
      </c>
      <c r="C347" s="25" t="s">
        <v>93</v>
      </c>
      <c r="D347" s="25" t="s">
        <v>84</v>
      </c>
      <c r="E347" s="25">
        <v>1</v>
      </c>
      <c r="F347" s="25">
        <v>658</v>
      </c>
      <c r="G347" s="25">
        <v>667</v>
      </c>
      <c r="I347" s="42">
        <v>1990</v>
      </c>
      <c r="J347" s="42">
        <v>1.464</v>
      </c>
      <c r="K347" s="53">
        <v>1991</v>
      </c>
      <c r="L347">
        <f t="shared" si="22"/>
        <v>914.40000000000009</v>
      </c>
      <c r="M347">
        <f t="shared" si="23"/>
        <v>0</v>
      </c>
      <c r="N347">
        <f t="shared" si="24"/>
        <v>914.40000000000009</v>
      </c>
      <c r="O347">
        <f t="shared" si="25"/>
        <v>1317.6504000000002</v>
      </c>
      <c r="P347"/>
      <c r="Q347"/>
      <c r="R347"/>
      <c r="S347"/>
      <c r="T347"/>
    </row>
    <row r="348" spans="2:23">
      <c r="B348" s="25">
        <v>4302</v>
      </c>
      <c r="C348" s="25" t="s">
        <v>93</v>
      </c>
      <c r="D348" s="25" t="s">
        <v>84</v>
      </c>
      <c r="E348" s="25">
        <v>2</v>
      </c>
      <c r="F348" s="25">
        <v>696</v>
      </c>
      <c r="G348" s="25">
        <v>705</v>
      </c>
      <c r="I348" s="42">
        <v>1989</v>
      </c>
      <c r="J348" s="42">
        <v>1.504</v>
      </c>
      <c r="K348" s="53">
        <v>1992</v>
      </c>
      <c r="L348">
        <f t="shared" si="22"/>
        <v>0</v>
      </c>
      <c r="M348">
        <f t="shared" si="23"/>
        <v>0</v>
      </c>
      <c r="N348">
        <f t="shared" si="24"/>
        <v>0</v>
      </c>
      <c r="O348">
        <f t="shared" si="25"/>
        <v>0</v>
      </c>
      <c r="P348"/>
      <c r="Q348"/>
      <c r="R348"/>
      <c r="S348"/>
      <c r="T348"/>
    </row>
    <row r="349" spans="2:23">
      <c r="B349" s="25">
        <v>4303</v>
      </c>
      <c r="C349" s="25" t="s">
        <v>93</v>
      </c>
      <c r="D349" s="25" t="s">
        <v>84</v>
      </c>
      <c r="E349" s="25">
        <v>3</v>
      </c>
      <c r="F349" s="25">
        <v>734</v>
      </c>
      <c r="G349" s="25">
        <v>743</v>
      </c>
      <c r="I349" s="42">
        <v>1988</v>
      </c>
      <c r="J349" s="42">
        <v>1.56</v>
      </c>
      <c r="K349" s="53">
        <v>1993</v>
      </c>
      <c r="L349">
        <f t="shared" si="22"/>
        <v>0</v>
      </c>
      <c r="M349">
        <f t="shared" si="23"/>
        <v>0</v>
      </c>
      <c r="N349">
        <f t="shared" si="24"/>
        <v>0</v>
      </c>
      <c r="O349">
        <f t="shared" si="25"/>
        <v>0</v>
      </c>
      <c r="P349"/>
      <c r="Q349" t="s">
        <v>217</v>
      </c>
      <c r="R349"/>
      <c r="S349"/>
      <c r="T349"/>
      <c r="V349"/>
      <c r="W349"/>
    </row>
    <row r="350" spans="2:23">
      <c r="B350" s="25">
        <v>4304</v>
      </c>
      <c r="C350" s="25" t="s">
        <v>93</v>
      </c>
      <c r="D350" s="25" t="s">
        <v>84</v>
      </c>
      <c r="E350" s="25">
        <v>4</v>
      </c>
      <c r="F350" s="25">
        <v>776</v>
      </c>
      <c r="G350" s="25">
        <v>785</v>
      </c>
      <c r="I350" s="42">
        <v>1987</v>
      </c>
      <c r="J350" s="42">
        <v>1.597</v>
      </c>
      <c r="K350" s="53">
        <v>1994</v>
      </c>
      <c r="L350">
        <f t="shared" si="22"/>
        <v>0</v>
      </c>
      <c r="M350">
        <f t="shared" si="23"/>
        <v>0</v>
      </c>
      <c r="N350">
        <f t="shared" si="24"/>
        <v>0</v>
      </c>
      <c r="O350">
        <f t="shared" si="25"/>
        <v>0</v>
      </c>
      <c r="P350"/>
      <c r="Q350" t="s">
        <v>218</v>
      </c>
      <c r="R350"/>
      <c r="S350">
        <v>1.2587999999999999</v>
      </c>
      <c r="T350"/>
      <c r="V350"/>
      <c r="W350"/>
    </row>
    <row r="351" spans="2:23">
      <c r="B351" s="25">
        <v>4305</v>
      </c>
      <c r="C351" s="25" t="s">
        <v>93</v>
      </c>
      <c r="D351" s="25" t="s">
        <v>84</v>
      </c>
      <c r="E351" s="25">
        <v>5</v>
      </c>
      <c r="F351" s="25">
        <v>821</v>
      </c>
      <c r="G351" s="25">
        <v>830</v>
      </c>
      <c r="I351" s="42">
        <v>1986</v>
      </c>
      <c r="J351" s="42">
        <v>1.657</v>
      </c>
      <c r="K351" s="53">
        <v>1995</v>
      </c>
      <c r="L351">
        <f t="shared" si="22"/>
        <v>0</v>
      </c>
      <c r="M351">
        <f t="shared" si="23"/>
        <v>0</v>
      </c>
      <c r="N351">
        <f t="shared" si="24"/>
        <v>0</v>
      </c>
      <c r="O351">
        <f t="shared" si="25"/>
        <v>0</v>
      </c>
      <c r="P351"/>
      <c r="Q351" t="s">
        <v>219</v>
      </c>
      <c r="R351"/>
      <c r="S351">
        <v>0.9</v>
      </c>
      <c r="T351"/>
      <c r="V351"/>
      <c r="W351"/>
    </row>
    <row r="352" spans="2:23">
      <c r="B352" s="25">
        <v>4317</v>
      </c>
      <c r="C352" s="25" t="s">
        <v>93</v>
      </c>
      <c r="D352" s="25" t="s">
        <v>84</v>
      </c>
      <c r="E352" s="25" t="s">
        <v>111</v>
      </c>
      <c r="F352" s="25">
        <v>881</v>
      </c>
      <c r="G352" s="25">
        <v>890</v>
      </c>
      <c r="I352" s="42">
        <v>1985</v>
      </c>
      <c r="J352" s="42">
        <v>1.6960000000000002</v>
      </c>
      <c r="K352" s="53">
        <v>1996</v>
      </c>
      <c r="L352">
        <f t="shared" si="22"/>
        <v>0</v>
      </c>
      <c r="M352">
        <f t="shared" si="23"/>
        <v>0</v>
      </c>
      <c r="N352">
        <f t="shared" si="24"/>
        <v>0</v>
      </c>
      <c r="O352">
        <f t="shared" si="25"/>
        <v>0</v>
      </c>
      <c r="P352"/>
      <c r="Q352" t="s">
        <v>220</v>
      </c>
      <c r="R352" s="45"/>
      <c r="S352" s="71">
        <f>L18</f>
        <v>90</v>
      </c>
      <c r="T352" s="45"/>
      <c r="V352"/>
      <c r="W352"/>
    </row>
    <row r="353" spans="2:23">
      <c r="B353" s="25">
        <v>4318</v>
      </c>
      <c r="C353" s="25" t="s">
        <v>93</v>
      </c>
      <c r="D353" s="25" t="s">
        <v>84</v>
      </c>
      <c r="E353" s="25" t="s">
        <v>113</v>
      </c>
      <c r="F353" s="25">
        <v>916</v>
      </c>
      <c r="G353" s="25">
        <v>925</v>
      </c>
      <c r="I353" s="42">
        <v>1984</v>
      </c>
      <c r="J353" s="42">
        <v>1.7690000000000001</v>
      </c>
      <c r="K353" s="53">
        <v>1997</v>
      </c>
      <c r="L353">
        <f t="shared" si="22"/>
        <v>0</v>
      </c>
      <c r="M353">
        <f t="shared" si="23"/>
        <v>0</v>
      </c>
      <c r="N353">
        <f t="shared" si="24"/>
        <v>0</v>
      </c>
      <c r="O353">
        <f t="shared" si="25"/>
        <v>0</v>
      </c>
      <c r="P353"/>
      <c r="Q353" t="s">
        <v>221</v>
      </c>
      <c r="R353" s="45"/>
      <c r="S353" s="72">
        <f>S352*S350*S351/12</f>
        <v>8.4968999999999983</v>
      </c>
      <c r="T353" s="45"/>
      <c r="V353"/>
      <c r="W353"/>
    </row>
    <row r="354" spans="2:23">
      <c r="B354" s="25">
        <v>4319</v>
      </c>
      <c r="C354" s="25" t="s">
        <v>93</v>
      </c>
      <c r="D354" s="25" t="s">
        <v>84</v>
      </c>
      <c r="E354" s="25" t="s">
        <v>115</v>
      </c>
      <c r="F354" s="25">
        <v>963</v>
      </c>
      <c r="G354" s="25">
        <v>972</v>
      </c>
      <c r="I354" s="42">
        <v>1983</v>
      </c>
      <c r="J354" s="42">
        <v>1.8660000000000001</v>
      </c>
      <c r="K354" s="53">
        <v>1998</v>
      </c>
      <c r="L354">
        <f t="shared" si="22"/>
        <v>0</v>
      </c>
      <c r="M354">
        <f t="shared" si="23"/>
        <v>0</v>
      </c>
      <c r="N354">
        <f t="shared" si="24"/>
        <v>0</v>
      </c>
      <c r="O354">
        <f t="shared" si="25"/>
        <v>0</v>
      </c>
      <c r="P354"/>
      <c r="Q354"/>
      <c r="R354" s="45"/>
      <c r="S354"/>
      <c r="T354"/>
      <c r="V354"/>
      <c r="W354"/>
    </row>
    <row r="355" spans="2:23">
      <c r="B355" s="25">
        <v>4401</v>
      </c>
      <c r="C355" s="25" t="s">
        <v>93</v>
      </c>
      <c r="D355" s="25" t="s">
        <v>87</v>
      </c>
      <c r="E355" s="25">
        <v>1</v>
      </c>
      <c r="F355" s="25">
        <v>821</v>
      </c>
      <c r="G355" s="25">
        <v>830</v>
      </c>
      <c r="I355" s="42">
        <v>1982</v>
      </c>
      <c r="J355" s="42">
        <v>1.978</v>
      </c>
      <c r="K355" s="53">
        <v>1999</v>
      </c>
      <c r="L355">
        <f t="shared" si="22"/>
        <v>0</v>
      </c>
      <c r="M355">
        <f t="shared" si="23"/>
        <v>0</v>
      </c>
      <c r="N355">
        <f t="shared" si="24"/>
        <v>0</v>
      </c>
      <c r="O355">
        <f t="shared" si="25"/>
        <v>0</v>
      </c>
      <c r="P355"/>
      <c r="Q355"/>
      <c r="R355" s="45"/>
      <c r="S355" s="45"/>
      <c r="T355" s="45"/>
      <c r="V355"/>
      <c r="W355"/>
    </row>
    <row r="356" spans="2:23">
      <c r="B356" s="25">
        <v>4417</v>
      </c>
      <c r="C356" s="25" t="s">
        <v>93</v>
      </c>
      <c r="D356" s="25" t="s">
        <v>87</v>
      </c>
      <c r="E356" s="25" t="s">
        <v>111</v>
      </c>
      <c r="F356" s="25">
        <v>881</v>
      </c>
      <c r="G356" s="42">
        <v>890</v>
      </c>
      <c r="I356" s="42">
        <v>1981</v>
      </c>
      <c r="J356" s="42">
        <v>2.2149999999999999</v>
      </c>
      <c r="K356" s="53">
        <v>2000</v>
      </c>
      <c r="L356">
        <f t="shared" si="22"/>
        <v>0</v>
      </c>
      <c r="M356">
        <f t="shared" si="23"/>
        <v>0</v>
      </c>
      <c r="N356">
        <f t="shared" si="24"/>
        <v>0</v>
      </c>
      <c r="O356">
        <f t="shared" si="25"/>
        <v>0</v>
      </c>
      <c r="P356"/>
      <c r="Q356"/>
      <c r="R356" s="45"/>
      <c r="S356" s="45"/>
      <c r="T356" s="45"/>
      <c r="U356" s="45"/>
      <c r="V356"/>
      <c r="W356"/>
    </row>
    <row r="357" spans="2:23">
      <c r="B357" s="25">
        <v>4418</v>
      </c>
      <c r="C357" s="25" t="s">
        <v>93</v>
      </c>
      <c r="D357" s="25" t="s">
        <v>87</v>
      </c>
      <c r="E357" s="25" t="s">
        <v>113</v>
      </c>
      <c r="F357" s="25">
        <v>916</v>
      </c>
      <c r="G357" s="42">
        <v>925</v>
      </c>
      <c r="I357" s="42">
        <v>1980</v>
      </c>
      <c r="J357" s="42">
        <v>2.5089999999999999</v>
      </c>
      <c r="K357" s="53">
        <v>2001</v>
      </c>
      <c r="L357">
        <f t="shared" si="22"/>
        <v>0</v>
      </c>
      <c r="M357">
        <f t="shared" si="23"/>
        <v>0</v>
      </c>
      <c r="N357">
        <f t="shared" si="24"/>
        <v>0</v>
      </c>
      <c r="O357">
        <f t="shared" si="25"/>
        <v>0</v>
      </c>
      <c r="P357"/>
      <c r="Q357"/>
      <c r="R357" s="45"/>
      <c r="S357" s="45"/>
      <c r="T357" s="45"/>
      <c r="U357" s="45"/>
      <c r="V357"/>
      <c r="W357"/>
    </row>
    <row r="358" spans="2:23">
      <c r="B358" s="25">
        <v>4419</v>
      </c>
      <c r="C358" s="25" t="s">
        <v>93</v>
      </c>
      <c r="D358" s="25" t="s">
        <v>87</v>
      </c>
      <c r="E358" s="25" t="s">
        <v>115</v>
      </c>
      <c r="F358" s="25">
        <v>963</v>
      </c>
      <c r="G358" s="42">
        <v>972</v>
      </c>
      <c r="I358" s="42">
        <v>1979</v>
      </c>
      <c r="J358" s="42">
        <v>2.8540000000000001</v>
      </c>
      <c r="K358" s="53">
        <v>2002</v>
      </c>
      <c r="L358">
        <f t="shared" si="22"/>
        <v>0</v>
      </c>
      <c r="M358">
        <f t="shared" si="23"/>
        <v>0</v>
      </c>
      <c r="N358">
        <f t="shared" si="24"/>
        <v>0</v>
      </c>
      <c r="O358">
        <f t="shared" si="25"/>
        <v>0</v>
      </c>
      <c r="P358"/>
      <c r="Q358"/>
      <c r="R358" s="45"/>
      <c r="S358"/>
      <c r="T358"/>
      <c r="V358"/>
      <c r="W358"/>
    </row>
    <row r="359" spans="2:23">
      <c r="B359" s="25">
        <v>4420</v>
      </c>
      <c r="C359" s="25" t="s">
        <v>93</v>
      </c>
      <c r="D359" s="25" t="s">
        <v>87</v>
      </c>
      <c r="E359" s="25" t="s">
        <v>117</v>
      </c>
      <c r="F359" s="25">
        <v>963</v>
      </c>
      <c r="G359" s="25">
        <v>972</v>
      </c>
      <c r="I359" s="42">
        <v>1978</v>
      </c>
      <c r="J359" s="42">
        <v>3.129</v>
      </c>
      <c r="K359" s="53">
        <v>2003</v>
      </c>
      <c r="L359">
        <f t="shared" si="22"/>
        <v>0</v>
      </c>
      <c r="M359">
        <f t="shared" si="23"/>
        <v>0</v>
      </c>
      <c r="N359">
        <f t="shared" si="24"/>
        <v>0</v>
      </c>
      <c r="O359">
        <f t="shared" si="25"/>
        <v>0</v>
      </c>
      <c r="P359"/>
      <c r="Q359"/>
      <c r="R359" s="45"/>
      <c r="S359"/>
      <c r="T359"/>
      <c r="V359"/>
      <c r="W359"/>
    </row>
    <row r="360" spans="2:23">
      <c r="B360" s="25">
        <v>4421</v>
      </c>
      <c r="C360" s="25" t="s">
        <v>93</v>
      </c>
      <c r="D360" s="25" t="s">
        <v>87</v>
      </c>
      <c r="E360" s="25" t="s">
        <v>119</v>
      </c>
      <c r="F360" s="25">
        <v>1004</v>
      </c>
      <c r="G360" s="25">
        <v>1013</v>
      </c>
      <c r="I360" s="42">
        <v>1977</v>
      </c>
      <c r="J360" s="42">
        <v>3.4790000000000001</v>
      </c>
      <c r="K360" s="53">
        <v>2004</v>
      </c>
      <c r="L360">
        <f t="shared" si="22"/>
        <v>0</v>
      </c>
      <c r="M360">
        <f t="shared" si="23"/>
        <v>0</v>
      </c>
      <c r="N360">
        <f t="shared" si="24"/>
        <v>0</v>
      </c>
      <c r="O360">
        <f t="shared" si="25"/>
        <v>0</v>
      </c>
      <c r="P360"/>
      <c r="Q360"/>
      <c r="R360" s="45"/>
      <c r="S360"/>
      <c r="T360"/>
      <c r="V360"/>
      <c r="W360"/>
    </row>
    <row r="361" spans="2:23">
      <c r="B361" s="25">
        <v>4422</v>
      </c>
      <c r="C361" s="25" t="s">
        <v>93</v>
      </c>
      <c r="D361" s="25" t="s">
        <v>87</v>
      </c>
      <c r="E361" s="25" t="s">
        <v>50</v>
      </c>
      <c r="F361" s="25">
        <v>1058</v>
      </c>
      <c r="G361" s="25">
        <v>1067</v>
      </c>
      <c r="I361" s="42">
        <v>1976</v>
      </c>
      <c r="J361" s="42">
        <v>4.0330000000000004</v>
      </c>
      <c r="K361" s="53">
        <v>2005</v>
      </c>
      <c r="L361">
        <f t="shared" si="22"/>
        <v>0</v>
      </c>
      <c r="M361">
        <f t="shared" si="23"/>
        <v>0</v>
      </c>
      <c r="N361">
        <f t="shared" si="24"/>
        <v>0</v>
      </c>
      <c r="O361">
        <f t="shared" si="25"/>
        <v>0</v>
      </c>
      <c r="P361"/>
      <c r="Q361"/>
      <c r="R361" s="45"/>
      <c r="S361"/>
      <c r="T361"/>
      <c r="V361"/>
      <c r="W361"/>
    </row>
    <row r="362" spans="2:23">
      <c r="B362" s="25">
        <v>4423</v>
      </c>
      <c r="C362" s="25" t="s">
        <v>93</v>
      </c>
      <c r="D362" s="25" t="s">
        <v>87</v>
      </c>
      <c r="E362" s="25" t="s">
        <v>122</v>
      </c>
      <c r="F362" s="25">
        <v>1115</v>
      </c>
      <c r="G362" s="25">
        <v>1124</v>
      </c>
      <c r="I362" s="42">
        <v>1975</v>
      </c>
      <c r="J362" s="42">
        <v>4.7460000000000004</v>
      </c>
      <c r="K362" s="53">
        <v>2006</v>
      </c>
      <c r="L362">
        <f t="shared" si="22"/>
        <v>0</v>
      </c>
      <c r="M362">
        <f t="shared" si="23"/>
        <v>0</v>
      </c>
      <c r="N362">
        <f t="shared" si="24"/>
        <v>0</v>
      </c>
      <c r="O362">
        <f t="shared" si="25"/>
        <v>0</v>
      </c>
      <c r="P362"/>
      <c r="Q362"/>
      <c r="R362" s="45"/>
      <c r="S362"/>
      <c r="T362"/>
      <c r="V362"/>
      <c r="W362"/>
    </row>
    <row r="363" spans="2:23">
      <c r="B363" s="25">
        <v>4424</v>
      </c>
      <c r="C363" s="25" t="s">
        <v>93</v>
      </c>
      <c r="D363" s="25" t="s">
        <v>87</v>
      </c>
      <c r="E363" s="25" t="s">
        <v>124</v>
      </c>
      <c r="F363" s="25">
        <v>1139</v>
      </c>
      <c r="G363" s="25">
        <v>1148</v>
      </c>
      <c r="I363" s="42">
        <v>1974</v>
      </c>
      <c r="J363" s="42">
        <v>5.6379999999999999</v>
      </c>
      <c r="K363" s="53">
        <v>2007</v>
      </c>
      <c r="L363">
        <f t="shared" si="22"/>
        <v>0</v>
      </c>
      <c r="M363">
        <f t="shared" si="23"/>
        <v>0</v>
      </c>
      <c r="N363">
        <f t="shared" si="24"/>
        <v>0</v>
      </c>
      <c r="O363">
        <f t="shared" si="25"/>
        <v>0</v>
      </c>
      <c r="P363"/>
      <c r="Q363"/>
      <c r="R363" s="45"/>
      <c r="S363"/>
      <c r="T363"/>
      <c r="V363"/>
      <c r="W363"/>
    </row>
    <row r="364" spans="2:23">
      <c r="B364" s="25">
        <v>4425</v>
      </c>
      <c r="C364" s="25" t="s">
        <v>93</v>
      </c>
      <c r="D364" s="25" t="s">
        <v>87</v>
      </c>
      <c r="E364" s="25" t="s">
        <v>126</v>
      </c>
      <c r="F364" s="25">
        <v>1164</v>
      </c>
      <c r="G364" s="25">
        <v>1173</v>
      </c>
      <c r="I364" s="42">
        <v>1973</v>
      </c>
      <c r="J364" s="42">
        <v>6.3949999999999996</v>
      </c>
      <c r="K364" s="53">
        <v>2008</v>
      </c>
      <c r="L364">
        <f t="shared" si="22"/>
        <v>0</v>
      </c>
      <c r="M364">
        <f t="shared" si="23"/>
        <v>0</v>
      </c>
      <c r="N364">
        <f t="shared" si="24"/>
        <v>0</v>
      </c>
      <c r="O364">
        <f t="shared" si="25"/>
        <v>0</v>
      </c>
      <c r="P364"/>
      <c r="Q364"/>
      <c r="R364" s="45"/>
      <c r="S364"/>
      <c r="T364"/>
      <c r="V364"/>
      <c r="W364"/>
    </row>
    <row r="365" spans="2:23">
      <c r="B365" s="25">
        <v>4526</v>
      </c>
      <c r="C365" s="25" t="s">
        <v>93</v>
      </c>
      <c r="D365" s="25" t="s">
        <v>49</v>
      </c>
      <c r="E365" s="25" t="s">
        <v>127</v>
      </c>
      <c r="F365" s="25">
        <v>1164</v>
      </c>
      <c r="G365" s="25">
        <v>1173</v>
      </c>
      <c r="I365" s="42">
        <v>1972</v>
      </c>
      <c r="J365" s="42">
        <v>6.92</v>
      </c>
      <c r="K365" s="53">
        <v>2009</v>
      </c>
      <c r="L365">
        <f t="shared" si="22"/>
        <v>0</v>
      </c>
      <c r="M365">
        <f t="shared" si="23"/>
        <v>0</v>
      </c>
      <c r="N365">
        <f t="shared" si="24"/>
        <v>0</v>
      </c>
      <c r="O365">
        <f t="shared" si="25"/>
        <v>0</v>
      </c>
      <c r="P365"/>
      <c r="Q365"/>
      <c r="R365" s="45"/>
      <c r="S365"/>
      <c r="T365"/>
      <c r="V365"/>
      <c r="W365"/>
    </row>
    <row r="366" spans="2:23">
      <c r="B366" s="25">
        <v>4527</v>
      </c>
      <c r="C366" s="25" t="s">
        <v>93</v>
      </c>
      <c r="D366" s="25" t="s">
        <v>49</v>
      </c>
      <c r="E366" s="25" t="s">
        <v>128</v>
      </c>
      <c r="F366" s="25">
        <v>1217</v>
      </c>
      <c r="G366" s="25">
        <v>1226</v>
      </c>
      <c r="H366"/>
      <c r="I366" s="42">
        <v>1971</v>
      </c>
      <c r="J366" s="42">
        <v>7.68</v>
      </c>
      <c r="K366" s="53">
        <v>2010</v>
      </c>
      <c r="L366">
        <f t="shared" si="22"/>
        <v>0</v>
      </c>
      <c r="M366">
        <f t="shared" si="23"/>
        <v>0</v>
      </c>
      <c r="N366">
        <f t="shared" si="24"/>
        <v>0</v>
      </c>
      <c r="O366">
        <f t="shared" si="25"/>
        <v>0</v>
      </c>
      <c r="P366"/>
      <c r="Q366"/>
      <c r="R366" s="45"/>
      <c r="S366"/>
      <c r="T366"/>
      <c r="V366"/>
      <c r="W366"/>
    </row>
    <row r="367" spans="2:23">
      <c r="B367" s="25">
        <v>4528</v>
      </c>
      <c r="C367" s="25" t="s">
        <v>93</v>
      </c>
      <c r="D367" s="25" t="s">
        <v>49</v>
      </c>
      <c r="E367" s="25" t="s">
        <v>129</v>
      </c>
      <c r="F367" s="25">
        <v>1270</v>
      </c>
      <c r="G367" s="25">
        <v>1279</v>
      </c>
      <c r="H367"/>
      <c r="I367" s="42">
        <v>1970</v>
      </c>
      <c r="J367" s="42">
        <v>8.5609999999999999</v>
      </c>
      <c r="K367" s="53">
        <v>2011</v>
      </c>
      <c r="L367">
        <f t="shared" si="22"/>
        <v>0</v>
      </c>
      <c r="M367">
        <f t="shared" si="23"/>
        <v>0</v>
      </c>
      <c r="N367">
        <f t="shared" si="24"/>
        <v>0</v>
      </c>
      <c r="O367">
        <f t="shared" si="25"/>
        <v>0</v>
      </c>
      <c r="P367"/>
      <c r="Q367"/>
      <c r="R367" s="45"/>
      <c r="S367" s="45"/>
      <c r="T367"/>
      <c r="V367"/>
      <c r="W367"/>
    </row>
    <row r="368" spans="2:23">
      <c r="B368" s="25">
        <v>4529</v>
      </c>
      <c r="C368" s="25" t="s">
        <v>93</v>
      </c>
      <c r="D368" s="25" t="s">
        <v>49</v>
      </c>
      <c r="E368" s="25" t="s">
        <v>130</v>
      </c>
      <c r="F368" s="25">
        <v>1270</v>
      </c>
      <c r="G368" s="25">
        <v>1279</v>
      </c>
      <c r="H368"/>
      <c r="I368" s="42">
        <v>1969</v>
      </c>
      <c r="J368" s="42">
        <v>9.4239999999999995</v>
      </c>
      <c r="K368" s="53">
        <v>2012</v>
      </c>
      <c r="L368">
        <f t="shared" si="22"/>
        <v>0</v>
      </c>
      <c r="M368">
        <f t="shared" si="23"/>
        <v>0</v>
      </c>
      <c r="N368">
        <f t="shared" si="24"/>
        <v>0</v>
      </c>
      <c r="O368">
        <f t="shared" si="25"/>
        <v>0</v>
      </c>
      <c r="P368"/>
      <c r="Q368"/>
      <c r="R368" s="45"/>
      <c r="S368" s="45"/>
      <c r="T368" s="45"/>
      <c r="V368"/>
      <c r="W368"/>
    </row>
    <row r="369" spans="2:23">
      <c r="B369" s="25">
        <v>4530</v>
      </c>
      <c r="C369" s="25" t="s">
        <v>93</v>
      </c>
      <c r="D369" s="25" t="s">
        <v>49</v>
      </c>
      <c r="E369" s="25" t="s">
        <v>131</v>
      </c>
      <c r="F369" s="25">
        <v>1320</v>
      </c>
      <c r="G369" s="25">
        <v>1329</v>
      </c>
      <c r="H369"/>
      <c r="I369" s="42">
        <v>1968</v>
      </c>
      <c r="J369" s="42">
        <v>10.872</v>
      </c>
      <c r="K369" s="53">
        <v>2013</v>
      </c>
      <c r="L369">
        <f t="shared" si="22"/>
        <v>0</v>
      </c>
      <c r="M369">
        <f t="shared" si="23"/>
        <v>0</v>
      </c>
      <c r="N369">
        <f t="shared" si="24"/>
        <v>0</v>
      </c>
      <c r="O369">
        <f t="shared" si="25"/>
        <v>0</v>
      </c>
      <c r="P369"/>
      <c r="Q369"/>
      <c r="R369" s="45"/>
      <c r="S369" s="45"/>
      <c r="T369" s="45"/>
      <c r="V369"/>
      <c r="W369"/>
    </row>
    <row r="370" spans="2:23">
      <c r="B370" s="25">
        <v>5222</v>
      </c>
      <c r="C370" s="25" t="s">
        <v>97</v>
      </c>
      <c r="D370" s="25" t="s">
        <v>45</v>
      </c>
      <c r="E370" s="25" t="s">
        <v>50</v>
      </c>
      <c r="G370" s="25">
        <v>1067</v>
      </c>
      <c r="H370"/>
      <c r="I370" s="42">
        <v>1967</v>
      </c>
      <c r="J370" s="42">
        <v>11.795</v>
      </c>
      <c r="K370" s="53">
        <v>2014</v>
      </c>
      <c r="L370">
        <f t="shared" si="22"/>
        <v>0</v>
      </c>
      <c r="M370">
        <f t="shared" si="23"/>
        <v>0</v>
      </c>
      <c r="N370">
        <f t="shared" si="24"/>
        <v>0</v>
      </c>
      <c r="O370">
        <f t="shared" si="25"/>
        <v>0</v>
      </c>
      <c r="P370"/>
      <c r="Q370"/>
      <c r="R370" s="45"/>
      <c r="S370" s="45"/>
      <c r="T370" s="45"/>
      <c r="U370" s="45"/>
      <c r="V370"/>
      <c r="W370"/>
    </row>
    <row r="371" spans="2:23">
      <c r="B371" s="25">
        <v>5221</v>
      </c>
      <c r="C371" s="25" t="s">
        <v>97</v>
      </c>
      <c r="D371" s="25" t="s">
        <v>45</v>
      </c>
      <c r="E371" s="25" t="s">
        <v>119</v>
      </c>
      <c r="G371" s="25">
        <v>1013</v>
      </c>
      <c r="H371"/>
      <c r="I371" s="42">
        <v>1966</v>
      </c>
      <c r="J371" s="42">
        <v>12.458</v>
      </c>
      <c r="K371" s="53">
        <v>2015</v>
      </c>
      <c r="L371">
        <f t="shared" si="22"/>
        <v>0</v>
      </c>
      <c r="M371">
        <f t="shared" si="23"/>
        <v>0</v>
      </c>
      <c r="N371">
        <f t="shared" si="24"/>
        <v>0</v>
      </c>
      <c r="O371">
        <f t="shared" si="25"/>
        <v>0</v>
      </c>
      <c r="P371"/>
      <c r="Q371"/>
      <c r="R371" s="45"/>
      <c r="S371" s="45"/>
      <c r="T371" s="45"/>
      <c r="U371" s="45"/>
      <c r="V371"/>
      <c r="W371"/>
    </row>
    <row r="372" spans="2:23">
      <c r="B372" s="25">
        <v>5220</v>
      </c>
      <c r="C372" s="25" t="s">
        <v>97</v>
      </c>
      <c r="D372" s="25" t="s">
        <v>45</v>
      </c>
      <c r="E372" s="25" t="s">
        <v>117</v>
      </c>
      <c r="G372" s="25">
        <v>972</v>
      </c>
      <c r="H372"/>
      <c r="I372" s="42">
        <v>1965</v>
      </c>
      <c r="J372" s="42">
        <v>13.183</v>
      </c>
      <c r="K372" s="53">
        <v>2016</v>
      </c>
      <c r="L372">
        <f t="shared" si="22"/>
        <v>0</v>
      </c>
      <c r="M372">
        <f t="shared" si="23"/>
        <v>0</v>
      </c>
      <c r="N372">
        <f t="shared" si="24"/>
        <v>0</v>
      </c>
      <c r="O372">
        <f t="shared" si="25"/>
        <v>0</v>
      </c>
      <c r="P372"/>
      <c r="Q372"/>
      <c r="R372" s="45"/>
      <c r="S372" s="45"/>
      <c r="T372" s="45"/>
      <c r="U372" s="45"/>
    </row>
    <row r="373" spans="2:23">
      <c r="B373" s="25">
        <v>5219</v>
      </c>
      <c r="C373" s="25" t="s">
        <v>97</v>
      </c>
      <c r="D373" s="25" t="s">
        <v>45</v>
      </c>
      <c r="E373" s="25" t="s">
        <v>115</v>
      </c>
      <c r="G373" s="25">
        <v>972</v>
      </c>
      <c r="H373"/>
      <c r="I373" s="42">
        <v>1964</v>
      </c>
      <c r="J373" s="42">
        <v>14.093999999999999</v>
      </c>
      <c r="K373" s="53">
        <v>2017</v>
      </c>
      <c r="L373">
        <f t="shared" si="22"/>
        <v>0</v>
      </c>
      <c r="M373">
        <f t="shared" si="23"/>
        <v>0</v>
      </c>
      <c r="N373">
        <f t="shared" si="24"/>
        <v>0</v>
      </c>
      <c r="O373">
        <f t="shared" si="25"/>
        <v>0</v>
      </c>
      <c r="P373"/>
      <c r="Q373"/>
      <c r="R373" s="45"/>
      <c r="S373" s="45"/>
      <c r="T373" s="45"/>
      <c r="U373" s="45"/>
    </row>
    <row r="374" spans="2:23">
      <c r="B374" s="25">
        <v>5218</v>
      </c>
      <c r="C374" s="25" t="s">
        <v>97</v>
      </c>
      <c r="D374" s="25" t="s">
        <v>45</v>
      </c>
      <c r="E374" s="25" t="s">
        <v>113</v>
      </c>
      <c r="G374" s="25">
        <v>925</v>
      </c>
      <c r="H374"/>
      <c r="I374" s="42">
        <v>1963</v>
      </c>
      <c r="J374" s="42">
        <v>15.646000000000001</v>
      </c>
      <c r="K374" s="53">
        <v>2018</v>
      </c>
      <c r="L374">
        <f t="shared" si="22"/>
        <v>0</v>
      </c>
      <c r="M374">
        <f t="shared" si="23"/>
        <v>0</v>
      </c>
      <c r="N374">
        <f t="shared" si="24"/>
        <v>0</v>
      </c>
      <c r="O374">
        <f t="shared" si="25"/>
        <v>0</v>
      </c>
      <c r="P374"/>
      <c r="Q374"/>
      <c r="R374" s="45"/>
      <c r="S374" s="45"/>
      <c r="T374" s="45"/>
      <c r="U374" s="45"/>
    </row>
    <row r="375" spans="2:23">
      <c r="B375" s="25">
        <v>5217</v>
      </c>
      <c r="C375" s="25" t="s">
        <v>97</v>
      </c>
      <c r="D375" s="25" t="s">
        <v>45</v>
      </c>
      <c r="E375" s="25" t="s">
        <v>111</v>
      </c>
      <c r="G375" s="25">
        <v>890</v>
      </c>
      <c r="H375"/>
      <c r="K375" s="53">
        <v>2019</v>
      </c>
      <c r="L375">
        <f t="shared" si="22"/>
        <v>0</v>
      </c>
      <c r="M375">
        <f t="shared" si="23"/>
        <v>0</v>
      </c>
      <c r="N375">
        <f t="shared" si="24"/>
        <v>0</v>
      </c>
      <c r="O375">
        <f t="shared" si="25"/>
        <v>0</v>
      </c>
      <c r="P375"/>
      <c r="Q375"/>
      <c r="R375" s="45"/>
      <c r="S375" s="45"/>
      <c r="T375" s="45"/>
      <c r="U375" s="45"/>
    </row>
    <row r="376" spans="2:23">
      <c r="B376" s="25">
        <v>5203</v>
      </c>
      <c r="C376" s="25" t="s">
        <v>97</v>
      </c>
      <c r="D376" s="25" t="s">
        <v>45</v>
      </c>
      <c r="E376" s="25">
        <v>3</v>
      </c>
      <c r="G376" s="25">
        <v>830</v>
      </c>
      <c r="H376"/>
      <c r="K376" s="53">
        <v>2020</v>
      </c>
      <c r="L376">
        <f t="shared" si="22"/>
        <v>0</v>
      </c>
      <c r="M376">
        <f t="shared" si="23"/>
        <v>0</v>
      </c>
      <c r="N376">
        <f t="shared" si="24"/>
        <v>0</v>
      </c>
      <c r="O376">
        <f t="shared" si="25"/>
        <v>0</v>
      </c>
      <c r="P376"/>
      <c r="Q376"/>
      <c r="R376" s="45"/>
      <c r="S376" s="45"/>
      <c r="T376" s="45"/>
      <c r="U376" s="45"/>
    </row>
    <row r="377" spans="2:23">
      <c r="B377" s="25">
        <v>5202</v>
      </c>
      <c r="C377" s="25" t="s">
        <v>97</v>
      </c>
      <c r="D377" s="25" t="s">
        <v>45</v>
      </c>
      <c r="E377" s="25">
        <v>2</v>
      </c>
      <c r="G377" s="25">
        <v>748</v>
      </c>
      <c r="H377"/>
      <c r="I377"/>
      <c r="K377" s="53">
        <v>2021</v>
      </c>
      <c r="L377">
        <f t="shared" si="22"/>
        <v>0</v>
      </c>
      <c r="M377">
        <f t="shared" si="23"/>
        <v>0</v>
      </c>
      <c r="N377">
        <f t="shared" si="24"/>
        <v>0</v>
      </c>
      <c r="O377">
        <f t="shared" si="25"/>
        <v>0</v>
      </c>
      <c r="P377"/>
      <c r="Q377"/>
      <c r="R377" s="45"/>
      <c r="S377" s="45"/>
      <c r="T377" s="45"/>
      <c r="U377" s="45"/>
    </row>
    <row r="378" spans="2:23">
      <c r="B378" s="25">
        <v>5201</v>
      </c>
      <c r="C378" s="25" t="s">
        <v>97</v>
      </c>
      <c r="D378" s="25" t="s">
        <v>45</v>
      </c>
      <c r="E378" s="25">
        <v>1</v>
      </c>
      <c r="G378" s="25">
        <v>672</v>
      </c>
      <c r="H378"/>
      <c r="I378"/>
      <c r="K378" s="53">
        <v>2022</v>
      </c>
      <c r="L378">
        <f t="shared" si="22"/>
        <v>0</v>
      </c>
      <c r="M378">
        <f t="shared" si="23"/>
        <v>0</v>
      </c>
      <c r="N378">
        <f t="shared" si="24"/>
        <v>0</v>
      </c>
      <c r="O378">
        <f t="shared" si="25"/>
        <v>0</v>
      </c>
      <c r="P378"/>
      <c r="Q378"/>
      <c r="R378" s="45"/>
      <c r="S378" s="45"/>
      <c r="T378" s="45"/>
      <c r="U378" s="45"/>
    </row>
    <row r="379" spans="2:23">
      <c r="B379" s="25">
        <v>5405</v>
      </c>
      <c r="C379" s="25" t="s">
        <v>97</v>
      </c>
      <c r="D379" s="25" t="s">
        <v>87</v>
      </c>
      <c r="E379" s="25">
        <v>5</v>
      </c>
      <c r="G379" s="25">
        <v>830</v>
      </c>
      <c r="H379"/>
      <c r="I379"/>
      <c r="K379" s="53">
        <v>2023</v>
      </c>
      <c r="L379">
        <f t="shared" si="22"/>
        <v>0</v>
      </c>
      <c r="M379">
        <f t="shared" si="23"/>
        <v>0</v>
      </c>
      <c r="N379">
        <f t="shared" si="24"/>
        <v>0</v>
      </c>
      <c r="O379">
        <f t="shared" si="25"/>
        <v>0</v>
      </c>
      <c r="P379"/>
      <c r="Q379"/>
      <c r="R379" s="45"/>
      <c r="S379" s="45"/>
      <c r="T379" s="45"/>
      <c r="U379" s="45"/>
    </row>
    <row r="380" spans="2:23">
      <c r="B380" s="25">
        <v>5404</v>
      </c>
      <c r="C380" s="25" t="s">
        <v>97</v>
      </c>
      <c r="D380" s="25" t="s">
        <v>87</v>
      </c>
      <c r="E380" s="25">
        <v>4</v>
      </c>
      <c r="G380" s="25">
        <v>798</v>
      </c>
      <c r="H380"/>
      <c r="I380"/>
      <c r="K380" s="53">
        <v>2024</v>
      </c>
      <c r="L380">
        <f t="shared" si="22"/>
        <v>0</v>
      </c>
      <c r="M380">
        <f t="shared" si="23"/>
        <v>0</v>
      </c>
      <c r="N380">
        <f t="shared" si="24"/>
        <v>0</v>
      </c>
      <c r="O380">
        <f t="shared" si="25"/>
        <v>0</v>
      </c>
      <c r="P380"/>
      <c r="Q380"/>
      <c r="R380" s="45"/>
      <c r="S380" s="45"/>
      <c r="T380" s="45"/>
      <c r="U380" s="45"/>
    </row>
    <row r="381" spans="2:23">
      <c r="B381" s="25">
        <v>5403</v>
      </c>
      <c r="C381" s="25" t="s">
        <v>97</v>
      </c>
      <c r="D381" s="25" t="s">
        <v>87</v>
      </c>
      <c r="E381" s="25">
        <v>3</v>
      </c>
      <c r="G381" s="25">
        <v>748</v>
      </c>
      <c r="H381"/>
      <c r="I381"/>
      <c r="K381" s="53">
        <v>2025</v>
      </c>
      <c r="L381">
        <f t="shared" si="22"/>
        <v>0</v>
      </c>
      <c r="M381">
        <f t="shared" si="23"/>
        <v>0</v>
      </c>
      <c r="N381">
        <f t="shared" si="24"/>
        <v>0</v>
      </c>
      <c r="O381">
        <f t="shared" si="25"/>
        <v>0</v>
      </c>
      <c r="P381"/>
      <c r="Q381"/>
      <c r="R381" s="45"/>
      <c r="S381" s="45"/>
      <c r="T381" s="45"/>
      <c r="U381" s="45"/>
    </row>
    <row r="382" spans="2:23">
      <c r="B382" s="25">
        <v>5402</v>
      </c>
      <c r="C382" s="25" t="s">
        <v>97</v>
      </c>
      <c r="D382" s="25" t="s">
        <v>87</v>
      </c>
      <c r="E382" s="25">
        <v>2</v>
      </c>
      <c r="G382" s="25">
        <v>672</v>
      </c>
      <c r="H382"/>
      <c r="I382"/>
      <c r="K382" s="53">
        <v>2026</v>
      </c>
      <c r="L382">
        <f t="shared" si="22"/>
        <v>0</v>
      </c>
      <c r="M382">
        <f t="shared" si="23"/>
        <v>0</v>
      </c>
      <c r="N382">
        <f t="shared" si="24"/>
        <v>0</v>
      </c>
      <c r="O382">
        <f t="shared" si="25"/>
        <v>0</v>
      </c>
      <c r="P382"/>
      <c r="Q382"/>
      <c r="R382" s="45"/>
      <c r="S382" s="45"/>
      <c r="T382" s="45"/>
      <c r="U382" s="45"/>
    </row>
    <row r="383" spans="2:23">
      <c r="B383" s="25">
        <v>5401</v>
      </c>
      <c r="C383" s="25" t="s">
        <v>97</v>
      </c>
      <c r="D383" s="25" t="s">
        <v>87</v>
      </c>
      <c r="E383" s="25">
        <v>1</v>
      </c>
      <c r="G383" s="25">
        <v>596</v>
      </c>
      <c r="H383"/>
      <c r="I383"/>
      <c r="K383" s="53">
        <v>2027</v>
      </c>
      <c r="L383">
        <f t="shared" si="22"/>
        <v>0</v>
      </c>
      <c r="M383">
        <f t="shared" si="23"/>
        <v>0</v>
      </c>
      <c r="N383">
        <f t="shared" si="24"/>
        <v>0</v>
      </c>
      <c r="O383">
        <f t="shared" si="25"/>
        <v>0</v>
      </c>
      <c r="P383"/>
      <c r="Q383"/>
      <c r="R383" s="45"/>
      <c r="S383" s="45"/>
      <c r="T383" s="45"/>
      <c r="U383" s="45"/>
    </row>
    <row r="384" spans="2:23">
      <c r="B384" s="25">
        <v>5311</v>
      </c>
      <c r="C384" s="25" t="s">
        <v>97</v>
      </c>
      <c r="D384" s="25" t="s">
        <v>84</v>
      </c>
      <c r="E384" s="25">
        <v>11</v>
      </c>
      <c r="G384" s="25">
        <v>727</v>
      </c>
      <c r="H384"/>
      <c r="I384"/>
      <c r="K384" s="53">
        <v>2028</v>
      </c>
      <c r="L384">
        <f t="shared" si="22"/>
        <v>0</v>
      </c>
      <c r="M384">
        <f t="shared" si="23"/>
        <v>0</v>
      </c>
      <c r="N384">
        <f t="shared" si="24"/>
        <v>0</v>
      </c>
      <c r="O384">
        <f t="shared" si="25"/>
        <v>0</v>
      </c>
      <c r="P384"/>
      <c r="Q384"/>
      <c r="R384" s="45"/>
      <c r="S384" s="45"/>
      <c r="T384" s="45"/>
      <c r="U384" s="45"/>
    </row>
    <row r="385" spans="2:21">
      <c r="B385" s="25">
        <v>5310</v>
      </c>
      <c r="C385" s="25" t="s">
        <v>97</v>
      </c>
      <c r="D385" s="25" t="s">
        <v>84</v>
      </c>
      <c r="E385" s="25">
        <v>10</v>
      </c>
      <c r="G385" s="25">
        <v>700</v>
      </c>
      <c r="H385"/>
      <c r="I385"/>
      <c r="K385" s="53">
        <v>2029</v>
      </c>
      <c r="L385">
        <f t="shared" si="22"/>
        <v>0</v>
      </c>
      <c r="M385">
        <f t="shared" si="23"/>
        <v>0</v>
      </c>
      <c r="N385">
        <f t="shared" si="24"/>
        <v>0</v>
      </c>
      <c r="O385">
        <f t="shared" si="25"/>
        <v>0</v>
      </c>
      <c r="P385"/>
      <c r="Q385"/>
      <c r="R385" s="45"/>
      <c r="S385" s="45"/>
      <c r="T385" s="45"/>
      <c r="U385" s="45"/>
    </row>
    <row r="386" spans="2:21">
      <c r="B386" s="25">
        <v>5309</v>
      </c>
      <c r="C386" s="25" t="s">
        <v>97</v>
      </c>
      <c r="D386" s="25" t="s">
        <v>84</v>
      </c>
      <c r="E386" s="25">
        <v>9</v>
      </c>
      <c r="G386" s="25">
        <v>672</v>
      </c>
      <c r="H386"/>
      <c r="I386"/>
      <c r="K386" s="53">
        <v>2030</v>
      </c>
      <c r="L386">
        <f t="shared" si="22"/>
        <v>0</v>
      </c>
      <c r="M386">
        <f t="shared" si="23"/>
        <v>0</v>
      </c>
      <c r="N386">
        <f t="shared" si="24"/>
        <v>0</v>
      </c>
      <c r="O386">
        <f t="shared" si="25"/>
        <v>0</v>
      </c>
      <c r="P386"/>
      <c r="Q386"/>
      <c r="R386" s="45"/>
      <c r="S386" s="45"/>
      <c r="T386" s="45"/>
      <c r="U386" s="45"/>
    </row>
    <row r="387" spans="2:21">
      <c r="B387" s="25">
        <v>5308</v>
      </c>
      <c r="C387" s="25" t="s">
        <v>97</v>
      </c>
      <c r="D387" s="25" t="s">
        <v>84</v>
      </c>
      <c r="E387" s="25">
        <v>8</v>
      </c>
      <c r="G387" s="25">
        <v>633</v>
      </c>
      <c r="H387"/>
      <c r="I387"/>
      <c r="K387" s="53">
        <v>2031</v>
      </c>
      <c r="L387">
        <f t="shared" si="22"/>
        <v>0</v>
      </c>
      <c r="M387">
        <f t="shared" si="23"/>
        <v>0</v>
      </c>
      <c r="N387">
        <f t="shared" si="24"/>
        <v>0</v>
      </c>
      <c r="O387">
        <f t="shared" si="25"/>
        <v>0</v>
      </c>
      <c r="P387"/>
      <c r="Q387"/>
      <c r="R387" s="45"/>
      <c r="S387" s="45"/>
      <c r="T387" s="45"/>
      <c r="U387" s="45"/>
    </row>
    <row r="388" spans="2:21">
      <c r="B388" s="25">
        <v>5307</v>
      </c>
      <c r="C388" s="25" t="s">
        <v>97</v>
      </c>
      <c r="D388" s="25" t="s">
        <v>84</v>
      </c>
      <c r="E388" s="25">
        <v>7</v>
      </c>
      <c r="G388" s="25">
        <v>596</v>
      </c>
      <c r="H388"/>
      <c r="I388"/>
      <c r="K388" s="53">
        <v>2032</v>
      </c>
      <c r="L388">
        <f t="shared" si="22"/>
        <v>0</v>
      </c>
      <c r="M388">
        <f t="shared" si="23"/>
        <v>0</v>
      </c>
      <c r="N388">
        <f t="shared" si="24"/>
        <v>0</v>
      </c>
      <c r="O388">
        <f t="shared" si="25"/>
        <v>0</v>
      </c>
      <c r="P388"/>
      <c r="Q388"/>
      <c r="R388" s="45"/>
      <c r="S388" s="45"/>
      <c r="T388" s="45"/>
      <c r="U388" s="45"/>
    </row>
    <row r="389" spans="2:21">
      <c r="B389" s="25">
        <v>5306</v>
      </c>
      <c r="C389" s="25" t="s">
        <v>97</v>
      </c>
      <c r="D389" s="25" t="s">
        <v>84</v>
      </c>
      <c r="E389" s="25">
        <v>6</v>
      </c>
      <c r="G389" s="25">
        <v>564</v>
      </c>
      <c r="H389"/>
      <c r="I389"/>
      <c r="K389" s="53">
        <v>2033</v>
      </c>
      <c r="L389">
        <f t="shared" si="22"/>
        <v>0</v>
      </c>
      <c r="M389">
        <f t="shared" si="23"/>
        <v>0</v>
      </c>
      <c r="N389">
        <f t="shared" si="24"/>
        <v>0</v>
      </c>
      <c r="O389">
        <f t="shared" si="25"/>
        <v>0</v>
      </c>
      <c r="P389"/>
      <c r="Q389"/>
      <c r="R389" s="45"/>
      <c r="S389" s="45"/>
      <c r="T389" s="45"/>
      <c r="U389" s="45"/>
    </row>
    <row r="390" spans="2:21">
      <c r="B390" s="25">
        <v>5305</v>
      </c>
      <c r="C390" s="25" t="s">
        <v>97</v>
      </c>
      <c r="D390" s="25" t="s">
        <v>84</v>
      </c>
      <c r="E390" s="25">
        <v>5</v>
      </c>
      <c r="G390" s="25">
        <v>528</v>
      </c>
      <c r="H390"/>
      <c r="I390"/>
      <c r="K390" s="53">
        <v>2034</v>
      </c>
      <c r="L390">
        <f t="shared" si="22"/>
        <v>0</v>
      </c>
      <c r="M390">
        <f t="shared" si="23"/>
        <v>0</v>
      </c>
      <c r="N390">
        <f t="shared" si="24"/>
        <v>0</v>
      </c>
      <c r="O390">
        <f t="shared" si="25"/>
        <v>0</v>
      </c>
      <c r="P390"/>
      <c r="Q390"/>
      <c r="R390" s="45"/>
      <c r="S390" s="45"/>
      <c r="T390" s="45"/>
      <c r="U390" s="45"/>
    </row>
    <row r="391" spans="2:21">
      <c r="B391" s="25">
        <v>5304</v>
      </c>
      <c r="C391" s="25" t="s">
        <v>97</v>
      </c>
      <c r="D391" s="25" t="s">
        <v>84</v>
      </c>
      <c r="E391" s="25">
        <v>4</v>
      </c>
      <c r="G391" s="25">
        <v>506</v>
      </c>
      <c r="H391"/>
      <c r="I391"/>
      <c r="K391" s="53">
        <v>2035</v>
      </c>
      <c r="L391">
        <f t="shared" si="22"/>
        <v>0</v>
      </c>
      <c r="M391">
        <f t="shared" si="23"/>
        <v>0</v>
      </c>
      <c r="N391">
        <f t="shared" si="24"/>
        <v>0</v>
      </c>
      <c r="O391">
        <f t="shared" si="25"/>
        <v>0</v>
      </c>
      <c r="P391"/>
      <c r="Q391"/>
      <c r="R391" s="45"/>
      <c r="S391" s="45"/>
      <c r="T391" s="45"/>
      <c r="U391" s="45"/>
    </row>
    <row r="392" spans="2:21">
      <c r="B392" s="25">
        <v>5303</v>
      </c>
      <c r="C392" s="25" t="s">
        <v>97</v>
      </c>
      <c r="D392" s="25" t="s">
        <v>84</v>
      </c>
      <c r="E392" s="25">
        <v>3</v>
      </c>
      <c r="G392" s="25">
        <v>478</v>
      </c>
      <c r="H392"/>
      <c r="I392"/>
      <c r="K392" s="53">
        <v>2036</v>
      </c>
      <c r="L392">
        <f t="shared" si="22"/>
        <v>0</v>
      </c>
      <c r="M392">
        <f t="shared" si="23"/>
        <v>0</v>
      </c>
      <c r="N392">
        <f t="shared" si="24"/>
        <v>0</v>
      </c>
      <c r="O392">
        <f t="shared" si="25"/>
        <v>0</v>
      </c>
      <c r="P392"/>
      <c r="Q392"/>
      <c r="R392" s="45"/>
      <c r="S392" s="45"/>
      <c r="T392" s="45"/>
      <c r="U392" s="45"/>
    </row>
    <row r="393" spans="2:21">
      <c r="B393" s="25">
        <v>5302</v>
      </c>
      <c r="C393" s="25" t="s">
        <v>97</v>
      </c>
      <c r="D393" s="25" t="s">
        <v>84</v>
      </c>
      <c r="E393" s="25">
        <v>2</v>
      </c>
      <c r="G393" s="25">
        <v>451</v>
      </c>
      <c r="H393"/>
      <c r="I393"/>
      <c r="K393" s="53">
        <v>2037</v>
      </c>
      <c r="L393">
        <f t="shared" si="22"/>
        <v>0</v>
      </c>
      <c r="M393">
        <f t="shared" si="23"/>
        <v>0</v>
      </c>
      <c r="N393">
        <f t="shared" si="24"/>
        <v>0</v>
      </c>
      <c r="O393">
        <f t="shared" si="25"/>
        <v>0</v>
      </c>
      <c r="P393"/>
      <c r="Q393"/>
      <c r="R393" s="45"/>
      <c r="S393" s="45"/>
      <c r="T393" s="45"/>
      <c r="U393" s="45"/>
    </row>
    <row r="394" spans="2:21">
      <c r="B394" s="25">
        <v>5301</v>
      </c>
      <c r="C394" s="25" t="s">
        <v>97</v>
      </c>
      <c r="D394" s="25" t="s">
        <v>84</v>
      </c>
      <c r="E394" s="25">
        <v>1</v>
      </c>
      <c r="G394" s="25">
        <v>426</v>
      </c>
      <c r="H394"/>
      <c r="I394"/>
      <c r="K394" s="53">
        <v>2038</v>
      </c>
      <c r="L394">
        <f t="shared" si="22"/>
        <v>0</v>
      </c>
      <c r="M394">
        <f t="shared" si="23"/>
        <v>0</v>
      </c>
      <c r="N394">
        <f t="shared" si="24"/>
        <v>0</v>
      </c>
      <c r="O394">
        <f t="shared" si="25"/>
        <v>0</v>
      </c>
      <c r="P394"/>
      <c r="Q394"/>
      <c r="R394" s="45"/>
      <c r="S394" s="45"/>
      <c r="T394" s="45"/>
      <c r="U394" s="45"/>
    </row>
    <row r="395" spans="2:21">
      <c r="B395" s="25">
        <v>6209</v>
      </c>
      <c r="C395" s="25" t="s">
        <v>100</v>
      </c>
      <c r="D395" s="25" t="s">
        <v>45</v>
      </c>
      <c r="E395" s="25">
        <v>9</v>
      </c>
      <c r="G395" s="25">
        <v>798</v>
      </c>
      <c r="H395"/>
      <c r="I395"/>
      <c r="K395" s="53">
        <v>2039</v>
      </c>
      <c r="L395">
        <f t="shared" si="22"/>
        <v>0</v>
      </c>
      <c r="M395">
        <f t="shared" si="23"/>
        <v>0</v>
      </c>
      <c r="N395">
        <f t="shared" si="24"/>
        <v>0</v>
      </c>
      <c r="O395">
        <f t="shared" si="25"/>
        <v>0</v>
      </c>
      <c r="P395"/>
      <c r="Q395"/>
      <c r="R395" s="45"/>
      <c r="S395" s="45"/>
      <c r="T395" s="45"/>
      <c r="U395" s="45"/>
    </row>
    <row r="396" spans="2:21">
      <c r="B396" s="25">
        <v>6208</v>
      </c>
      <c r="C396" s="25" t="s">
        <v>100</v>
      </c>
      <c r="D396" s="25" t="s">
        <v>45</v>
      </c>
      <c r="E396" s="25">
        <v>8</v>
      </c>
      <c r="G396" s="25">
        <v>772</v>
      </c>
      <c r="H396"/>
      <c r="I396"/>
      <c r="K396" s="53">
        <v>2040</v>
      </c>
      <c r="L396">
        <f t="shared" si="22"/>
        <v>0</v>
      </c>
      <c r="M396">
        <f t="shared" si="23"/>
        <v>0</v>
      </c>
      <c r="N396">
        <f t="shared" si="24"/>
        <v>0</v>
      </c>
      <c r="O396">
        <f t="shared" si="25"/>
        <v>0</v>
      </c>
      <c r="P396"/>
      <c r="Q396"/>
      <c r="R396" s="45"/>
      <c r="S396" s="45"/>
      <c r="T396" s="45"/>
      <c r="U396" s="45"/>
    </row>
    <row r="397" spans="2:21">
      <c r="B397" s="25">
        <v>6207</v>
      </c>
      <c r="C397" s="25" t="s">
        <v>100</v>
      </c>
      <c r="D397" s="25" t="s">
        <v>45</v>
      </c>
      <c r="E397" s="25">
        <v>7</v>
      </c>
      <c r="G397" s="25">
        <v>741</v>
      </c>
      <c r="H397"/>
      <c r="I397"/>
      <c r="M397"/>
      <c r="O397" s="73">
        <f>SUM(O319:O396)</f>
        <v>9253.0421999999999</v>
      </c>
      <c r="R397" s="45"/>
      <c r="S397" s="45"/>
      <c r="T397" s="45"/>
    </row>
    <row r="398" spans="2:21">
      <c r="B398" s="25">
        <v>6206</v>
      </c>
      <c r="C398" s="25" t="s">
        <v>100</v>
      </c>
      <c r="D398" s="25" t="s">
        <v>45</v>
      </c>
      <c r="E398" s="25">
        <v>6</v>
      </c>
      <c r="G398" s="25">
        <v>710</v>
      </c>
      <c r="H398"/>
      <c r="I398"/>
      <c r="M398"/>
      <c r="R398" s="45"/>
      <c r="S398" s="45"/>
      <c r="T398" s="45"/>
    </row>
    <row r="399" spans="2:21">
      <c r="B399" s="25">
        <v>6205</v>
      </c>
      <c r="C399" s="25" t="s">
        <v>100</v>
      </c>
      <c r="D399" s="25" t="s">
        <v>45</v>
      </c>
      <c r="E399" s="25">
        <v>5</v>
      </c>
      <c r="G399" s="25">
        <v>685</v>
      </c>
      <c r="H399"/>
      <c r="I399"/>
      <c r="M399"/>
    </row>
    <row r="400" spans="2:21">
      <c r="B400" s="25">
        <v>6204</v>
      </c>
      <c r="C400" s="25" t="s">
        <v>100</v>
      </c>
      <c r="D400" s="25" t="s">
        <v>45</v>
      </c>
      <c r="E400" s="25">
        <v>4</v>
      </c>
      <c r="G400" s="25">
        <v>657</v>
      </c>
      <c r="H400"/>
      <c r="I400"/>
      <c r="K400"/>
      <c r="L400"/>
      <c r="M400"/>
      <c r="N400"/>
      <c r="O400"/>
    </row>
    <row r="401" spans="2:15">
      <c r="B401" s="25">
        <v>6203</v>
      </c>
      <c r="C401" s="25" t="s">
        <v>100</v>
      </c>
      <c r="D401" s="25" t="s">
        <v>45</v>
      </c>
      <c r="E401" s="25">
        <v>3</v>
      </c>
      <c r="G401" s="25">
        <v>624</v>
      </c>
      <c r="H401"/>
      <c r="I401"/>
      <c r="K401"/>
      <c r="L401"/>
      <c r="M401"/>
      <c r="N401"/>
      <c r="O401"/>
    </row>
    <row r="402" spans="2:15">
      <c r="B402" s="25">
        <v>6202</v>
      </c>
      <c r="C402" s="25" t="s">
        <v>100</v>
      </c>
      <c r="D402" s="25" t="s">
        <v>45</v>
      </c>
      <c r="E402" s="25">
        <v>2</v>
      </c>
      <c r="G402" s="25">
        <v>595</v>
      </c>
      <c r="H402"/>
      <c r="I402"/>
      <c r="K402"/>
      <c r="L402"/>
      <c r="M402"/>
      <c r="N402"/>
      <c r="O402"/>
    </row>
    <row r="403" spans="2:15">
      <c r="B403" s="25">
        <v>6201</v>
      </c>
      <c r="C403" s="25" t="s">
        <v>100</v>
      </c>
      <c r="D403" s="25" t="s">
        <v>45</v>
      </c>
      <c r="E403" s="25">
        <v>1</v>
      </c>
      <c r="G403" s="25">
        <v>566</v>
      </c>
      <c r="H403"/>
      <c r="I403"/>
      <c r="K403"/>
      <c r="L403"/>
      <c r="N403"/>
      <c r="O403"/>
    </row>
    <row r="404" spans="2:15">
      <c r="B404" s="25">
        <v>6114</v>
      </c>
      <c r="C404" s="25" t="s">
        <v>100</v>
      </c>
      <c r="D404" s="25" t="s">
        <v>44</v>
      </c>
      <c r="E404" s="25">
        <v>14</v>
      </c>
      <c r="G404" s="25">
        <v>669</v>
      </c>
      <c r="H404"/>
      <c r="I404"/>
      <c r="K404"/>
      <c r="L404"/>
      <c r="N404"/>
      <c r="O404"/>
    </row>
    <row r="405" spans="2:15">
      <c r="B405" s="25">
        <v>6113</v>
      </c>
      <c r="C405" s="25" t="s">
        <v>100</v>
      </c>
      <c r="D405" s="25" t="s">
        <v>44</v>
      </c>
      <c r="E405" s="25">
        <v>13</v>
      </c>
      <c r="G405" s="25">
        <v>630</v>
      </c>
      <c r="H405"/>
      <c r="I405"/>
      <c r="K405"/>
      <c r="L405"/>
      <c r="N405"/>
      <c r="O405"/>
    </row>
    <row r="406" spans="2:15">
      <c r="B406" s="25">
        <v>6112</v>
      </c>
      <c r="C406" s="25" t="s">
        <v>100</v>
      </c>
      <c r="D406" s="25" t="s">
        <v>44</v>
      </c>
      <c r="E406" s="25">
        <v>12</v>
      </c>
      <c r="G406" s="25">
        <v>608</v>
      </c>
      <c r="H406"/>
      <c r="K406"/>
      <c r="L406"/>
      <c r="N406"/>
      <c r="O406"/>
    </row>
    <row r="407" spans="2:15">
      <c r="B407" s="25">
        <v>6111</v>
      </c>
      <c r="C407" s="25" t="s">
        <v>100</v>
      </c>
      <c r="D407" s="25" t="s">
        <v>44</v>
      </c>
      <c r="E407" s="25">
        <v>11</v>
      </c>
      <c r="G407" s="25">
        <v>588</v>
      </c>
      <c r="H407" s="25"/>
      <c r="I407" s="25"/>
      <c r="K407"/>
      <c r="L407"/>
      <c r="N407"/>
      <c r="O407"/>
    </row>
    <row r="408" spans="2:15">
      <c r="B408" s="25">
        <v>6110</v>
      </c>
      <c r="C408" s="25" t="s">
        <v>100</v>
      </c>
      <c r="D408" s="25" t="s">
        <v>44</v>
      </c>
      <c r="E408" s="25">
        <v>10</v>
      </c>
      <c r="G408" s="25">
        <v>575</v>
      </c>
      <c r="H408" s="25"/>
      <c r="I408" s="25"/>
      <c r="K408"/>
      <c r="L408"/>
      <c r="N408"/>
      <c r="O408"/>
    </row>
    <row r="409" spans="2:15">
      <c r="B409" s="25">
        <v>6109</v>
      </c>
      <c r="C409" s="25" t="s">
        <v>100</v>
      </c>
      <c r="D409" s="25" t="s">
        <v>44</v>
      </c>
      <c r="E409" s="25">
        <v>9</v>
      </c>
      <c r="G409" s="25">
        <v>546</v>
      </c>
      <c r="H409" s="25"/>
      <c r="I409" s="25"/>
      <c r="K409"/>
      <c r="L409"/>
      <c r="N409"/>
      <c r="O409"/>
    </row>
    <row r="410" spans="2:15">
      <c r="B410" s="25">
        <v>6108</v>
      </c>
      <c r="C410" s="25" t="s">
        <v>100</v>
      </c>
      <c r="D410" s="25" t="s">
        <v>44</v>
      </c>
      <c r="E410" s="25">
        <v>8</v>
      </c>
      <c r="G410" s="25">
        <v>525</v>
      </c>
      <c r="H410" s="25"/>
      <c r="I410" s="25"/>
      <c r="K410"/>
      <c r="L410"/>
      <c r="N410"/>
      <c r="O410"/>
    </row>
    <row r="411" spans="2:15">
      <c r="B411" s="25">
        <v>6107</v>
      </c>
      <c r="C411" s="25" t="s">
        <v>100</v>
      </c>
      <c r="D411" s="25" t="s">
        <v>44</v>
      </c>
      <c r="E411" s="25">
        <v>7</v>
      </c>
      <c r="G411" s="25">
        <v>504</v>
      </c>
      <c r="H411" s="25"/>
      <c r="I411" s="25"/>
      <c r="K411"/>
      <c r="L411"/>
      <c r="N411"/>
      <c r="O411"/>
    </row>
    <row r="412" spans="2:15">
      <c r="B412" s="25">
        <v>6106</v>
      </c>
      <c r="C412" s="25" t="s">
        <v>100</v>
      </c>
      <c r="D412" s="25" t="s">
        <v>44</v>
      </c>
      <c r="E412" s="25">
        <v>6</v>
      </c>
      <c r="G412" s="25">
        <v>481</v>
      </c>
      <c r="H412" s="25"/>
      <c r="I412" s="25"/>
      <c r="K412"/>
      <c r="L412"/>
      <c r="N412"/>
      <c r="O412"/>
    </row>
    <row r="413" spans="2:15">
      <c r="B413" s="25">
        <v>6105</v>
      </c>
      <c r="C413" s="25" t="s">
        <v>100</v>
      </c>
      <c r="D413" s="25" t="s">
        <v>44</v>
      </c>
      <c r="E413" s="25">
        <v>5</v>
      </c>
      <c r="G413" s="25">
        <v>460</v>
      </c>
      <c r="H413"/>
      <c r="K413"/>
      <c r="L413"/>
      <c r="N413"/>
      <c r="O413"/>
    </row>
    <row r="414" spans="2:15">
      <c r="B414" s="25">
        <v>6104</v>
      </c>
      <c r="C414" s="25" t="s">
        <v>100</v>
      </c>
      <c r="D414" s="25" t="s">
        <v>44</v>
      </c>
      <c r="E414" s="25">
        <v>4</v>
      </c>
      <c r="G414" s="25">
        <v>437</v>
      </c>
      <c r="H414"/>
      <c r="K414"/>
      <c r="L414"/>
      <c r="N414"/>
      <c r="O414"/>
    </row>
    <row r="415" spans="2:15">
      <c r="B415" s="25">
        <v>6103</v>
      </c>
      <c r="C415" s="25" t="s">
        <v>100</v>
      </c>
      <c r="D415" s="25" t="s">
        <v>44</v>
      </c>
      <c r="E415" s="25">
        <v>3</v>
      </c>
      <c r="G415" s="25">
        <v>419</v>
      </c>
      <c r="H415"/>
      <c r="I415"/>
      <c r="K415"/>
      <c r="L415"/>
      <c r="N415"/>
      <c r="O415"/>
    </row>
    <row r="416" spans="2:15">
      <c r="B416" s="25">
        <v>6102</v>
      </c>
      <c r="C416" s="25" t="s">
        <v>100</v>
      </c>
      <c r="D416" s="25" t="s">
        <v>44</v>
      </c>
      <c r="E416" s="25">
        <v>2</v>
      </c>
      <c r="G416" s="25">
        <v>409</v>
      </c>
      <c r="H416"/>
      <c r="I416"/>
      <c r="K416"/>
      <c r="L416"/>
      <c r="N416"/>
      <c r="O416"/>
    </row>
    <row r="417" spans="2:15">
      <c r="B417" s="25">
        <v>6101</v>
      </c>
      <c r="C417" s="25" t="s">
        <v>100</v>
      </c>
      <c r="D417" s="25" t="s">
        <v>44</v>
      </c>
      <c r="E417" s="25">
        <v>1</v>
      </c>
      <c r="G417" s="25">
        <v>388</v>
      </c>
      <c r="H417"/>
      <c r="I417"/>
      <c r="K417"/>
      <c r="L417"/>
      <c r="N417"/>
      <c r="O417"/>
    </row>
    <row r="418" spans="2:15">
      <c r="B418" s="25">
        <v>7116</v>
      </c>
      <c r="C418" s="25" t="s">
        <v>102</v>
      </c>
      <c r="D418" s="25"/>
      <c r="E418" s="25">
        <v>16</v>
      </c>
      <c r="G418" s="25">
        <v>627</v>
      </c>
      <c r="H418"/>
      <c r="I418"/>
      <c r="K418"/>
      <c r="L418"/>
      <c r="N418"/>
      <c r="O418"/>
    </row>
    <row r="419" spans="2:15">
      <c r="B419" s="25">
        <v>7115</v>
      </c>
      <c r="C419" s="25" t="s">
        <v>102</v>
      </c>
      <c r="D419" s="25"/>
      <c r="E419" s="25">
        <v>15</v>
      </c>
      <c r="G419" s="25">
        <v>617</v>
      </c>
      <c r="H419"/>
      <c r="I419"/>
      <c r="K419"/>
      <c r="L419"/>
      <c r="N419"/>
      <c r="O419"/>
    </row>
    <row r="420" spans="2:15">
      <c r="B420" s="25">
        <v>7114</v>
      </c>
      <c r="C420" s="25" t="s">
        <v>102</v>
      </c>
      <c r="D420" s="25"/>
      <c r="E420" s="25">
        <v>14</v>
      </c>
      <c r="G420" s="25">
        <v>586</v>
      </c>
      <c r="H420"/>
      <c r="I420"/>
      <c r="K420"/>
      <c r="L420"/>
      <c r="N420"/>
      <c r="O420"/>
    </row>
    <row r="421" spans="2:15">
      <c r="B421" s="25">
        <v>7113</v>
      </c>
      <c r="C421" s="25" t="s">
        <v>102</v>
      </c>
      <c r="D421" s="25"/>
      <c r="E421" s="25">
        <v>13</v>
      </c>
      <c r="G421" s="25">
        <v>564</v>
      </c>
      <c r="H421"/>
      <c r="I421"/>
      <c r="K421"/>
      <c r="L421"/>
      <c r="N421"/>
      <c r="O421"/>
    </row>
    <row r="422" spans="2:15">
      <c r="B422" s="25">
        <v>7112</v>
      </c>
      <c r="C422" s="25" t="s">
        <v>102</v>
      </c>
      <c r="D422" s="25"/>
      <c r="E422" s="25">
        <v>12</v>
      </c>
      <c r="G422" s="25">
        <v>551</v>
      </c>
      <c r="H422"/>
      <c r="I422"/>
      <c r="K422"/>
      <c r="L422"/>
      <c r="N422"/>
      <c r="O422"/>
    </row>
    <row r="423" spans="2:15">
      <c r="B423" s="25">
        <v>7111</v>
      </c>
      <c r="C423" s="25" t="s">
        <v>102</v>
      </c>
      <c r="D423" s="25"/>
      <c r="E423" s="25">
        <v>11</v>
      </c>
      <c r="G423" s="25">
        <v>535</v>
      </c>
      <c r="H423"/>
      <c r="I423"/>
      <c r="K423"/>
      <c r="L423"/>
    </row>
    <row r="424" spans="2:15">
      <c r="B424" s="25">
        <v>7110</v>
      </c>
      <c r="C424" s="25" t="s">
        <v>102</v>
      </c>
      <c r="D424" s="25"/>
      <c r="E424" s="25">
        <v>10</v>
      </c>
      <c r="G424" s="25">
        <v>518</v>
      </c>
      <c r="H424"/>
      <c r="I424"/>
      <c r="K424"/>
      <c r="L424"/>
    </row>
    <row r="425" spans="2:15">
      <c r="B425" s="25">
        <v>7109</v>
      </c>
      <c r="C425" s="25" t="s">
        <v>102</v>
      </c>
      <c r="D425" s="25"/>
      <c r="E425" s="25">
        <v>9</v>
      </c>
      <c r="G425" s="25">
        <v>503</v>
      </c>
      <c r="H425"/>
      <c r="I425"/>
    </row>
    <row r="426" spans="2:15">
      <c r="B426" s="25">
        <v>7108</v>
      </c>
      <c r="C426" s="25" t="s">
        <v>102</v>
      </c>
      <c r="D426" s="25"/>
      <c r="E426" s="25">
        <v>8</v>
      </c>
      <c r="G426" s="25">
        <v>487</v>
      </c>
      <c r="H426"/>
      <c r="I426"/>
    </row>
    <row r="427" spans="2:15">
      <c r="B427" s="25">
        <v>7107</v>
      </c>
      <c r="C427" s="25" t="s">
        <v>102</v>
      </c>
      <c r="D427" s="25"/>
      <c r="E427" s="25">
        <v>7</v>
      </c>
      <c r="G427" s="25">
        <v>470</v>
      </c>
      <c r="H427"/>
      <c r="I427"/>
    </row>
    <row r="428" spans="2:15">
      <c r="B428" s="25">
        <v>7106</v>
      </c>
      <c r="C428" s="25" t="s">
        <v>102</v>
      </c>
      <c r="D428" s="25"/>
      <c r="E428" s="25">
        <v>6</v>
      </c>
      <c r="G428" s="25">
        <v>453</v>
      </c>
      <c r="H428"/>
      <c r="I428"/>
    </row>
    <row r="429" spans="2:15">
      <c r="B429" s="25">
        <v>7105</v>
      </c>
      <c r="C429" s="25" t="s">
        <v>102</v>
      </c>
      <c r="D429" s="25"/>
      <c r="E429" s="25">
        <v>5</v>
      </c>
      <c r="G429" s="25">
        <v>436</v>
      </c>
      <c r="H429"/>
      <c r="I429"/>
    </row>
    <row r="430" spans="2:15">
      <c r="B430" s="25">
        <v>7104</v>
      </c>
      <c r="C430" s="25" t="s">
        <v>102</v>
      </c>
      <c r="D430" s="25"/>
      <c r="E430" s="25">
        <v>4</v>
      </c>
      <c r="G430" s="25">
        <v>417</v>
      </c>
      <c r="H430"/>
      <c r="I430"/>
    </row>
    <row r="431" spans="2:15">
      <c r="B431" s="25">
        <v>7103</v>
      </c>
      <c r="C431" s="25" t="s">
        <v>102</v>
      </c>
      <c r="D431" s="25"/>
      <c r="E431" s="25">
        <v>3</v>
      </c>
      <c r="G431" s="25">
        <v>400</v>
      </c>
      <c r="H431"/>
      <c r="I431"/>
    </row>
    <row r="432" spans="2:15">
      <c r="B432" s="25">
        <v>7102</v>
      </c>
      <c r="C432" s="25" t="s">
        <v>102</v>
      </c>
      <c r="D432" s="25"/>
      <c r="E432" s="25">
        <v>2</v>
      </c>
      <c r="G432" s="25">
        <v>384</v>
      </c>
      <c r="H432"/>
      <c r="I432"/>
    </row>
    <row r="433" spans="2:9">
      <c r="B433" s="25">
        <v>7101</v>
      </c>
      <c r="C433" s="25" t="s">
        <v>102</v>
      </c>
      <c r="D433" s="25"/>
      <c r="E433" s="25">
        <v>1</v>
      </c>
      <c r="G433" s="25">
        <v>366</v>
      </c>
      <c r="H433"/>
      <c r="I433"/>
    </row>
    <row r="434" spans="2:9">
      <c r="B434" s="25">
        <v>8511</v>
      </c>
      <c r="C434" s="25" t="s">
        <v>105</v>
      </c>
      <c r="D434" s="25" t="s">
        <v>49</v>
      </c>
      <c r="E434" s="25">
        <v>11</v>
      </c>
      <c r="G434" s="25">
        <v>587</v>
      </c>
      <c r="H434"/>
      <c r="I434"/>
    </row>
    <row r="435" spans="2:9">
      <c r="B435" s="25">
        <v>8510</v>
      </c>
      <c r="C435" s="25" t="s">
        <v>105</v>
      </c>
      <c r="D435" s="25" t="s">
        <v>49</v>
      </c>
      <c r="E435" s="25">
        <v>10</v>
      </c>
      <c r="G435" s="25">
        <v>569</v>
      </c>
      <c r="H435"/>
      <c r="I435"/>
    </row>
    <row r="436" spans="2:9">
      <c r="B436" s="25">
        <v>8509</v>
      </c>
      <c r="C436" s="25" t="s">
        <v>105</v>
      </c>
      <c r="D436" s="25" t="s">
        <v>49</v>
      </c>
      <c r="E436" s="25">
        <v>9</v>
      </c>
      <c r="G436" s="25">
        <v>551</v>
      </c>
      <c r="H436"/>
      <c r="I436"/>
    </row>
    <row r="437" spans="2:9">
      <c r="B437" s="25">
        <v>8508</v>
      </c>
      <c r="C437" s="25" t="s">
        <v>105</v>
      </c>
      <c r="D437" s="25" t="s">
        <v>49</v>
      </c>
      <c r="E437" s="25">
        <v>8</v>
      </c>
      <c r="G437" s="25">
        <v>534</v>
      </c>
      <c r="H437"/>
      <c r="I437"/>
    </row>
    <row r="438" spans="2:9">
      <c r="B438" s="25">
        <v>8507</v>
      </c>
      <c r="C438" s="25" t="s">
        <v>105</v>
      </c>
      <c r="D438" s="25" t="s">
        <v>49</v>
      </c>
      <c r="E438" s="25">
        <v>7</v>
      </c>
      <c r="G438" s="25">
        <v>508</v>
      </c>
      <c r="H438"/>
      <c r="I438"/>
    </row>
    <row r="439" spans="2:9">
      <c r="B439" s="25">
        <v>8506</v>
      </c>
      <c r="C439" s="25" t="s">
        <v>105</v>
      </c>
      <c r="D439" s="25" t="s">
        <v>49</v>
      </c>
      <c r="E439" s="25">
        <v>6</v>
      </c>
      <c r="G439" s="25">
        <v>484</v>
      </c>
      <c r="H439"/>
      <c r="I439"/>
    </row>
    <row r="440" spans="2:9">
      <c r="B440" s="25">
        <v>8505</v>
      </c>
      <c r="C440" s="25" t="s">
        <v>105</v>
      </c>
      <c r="D440" s="25" t="s">
        <v>49</v>
      </c>
      <c r="E440" s="25">
        <v>5</v>
      </c>
      <c r="G440" s="25">
        <v>465</v>
      </c>
      <c r="H440"/>
      <c r="I440"/>
    </row>
    <row r="441" spans="2:9">
      <c r="B441" s="25">
        <v>8504</v>
      </c>
      <c r="C441" s="25" t="s">
        <v>105</v>
      </c>
      <c r="D441" s="25" t="s">
        <v>49</v>
      </c>
      <c r="E441" s="25">
        <v>4</v>
      </c>
      <c r="G441" s="25">
        <v>441</v>
      </c>
      <c r="H441"/>
      <c r="I441"/>
    </row>
    <row r="442" spans="2:9">
      <c r="B442" s="25">
        <v>8503</v>
      </c>
      <c r="C442" s="25" t="s">
        <v>105</v>
      </c>
      <c r="D442" s="25" t="s">
        <v>49</v>
      </c>
      <c r="E442" s="25">
        <v>3</v>
      </c>
      <c r="G442" s="25">
        <v>419</v>
      </c>
      <c r="H442"/>
      <c r="I442"/>
    </row>
    <row r="443" spans="2:9">
      <c r="B443" s="25">
        <v>8502</v>
      </c>
      <c r="C443" s="25" t="s">
        <v>105</v>
      </c>
      <c r="D443" s="25" t="s">
        <v>49</v>
      </c>
      <c r="E443" s="25">
        <v>2</v>
      </c>
      <c r="G443" s="25">
        <v>404</v>
      </c>
      <c r="H443"/>
      <c r="I443"/>
    </row>
    <row r="444" spans="2:9">
      <c r="B444" s="25">
        <v>8501</v>
      </c>
      <c r="C444" s="25" t="s">
        <v>105</v>
      </c>
      <c r="D444" s="25" t="s">
        <v>49</v>
      </c>
      <c r="E444" s="25">
        <v>1</v>
      </c>
      <c r="G444" s="25">
        <v>392</v>
      </c>
      <c r="H444"/>
      <c r="I444"/>
    </row>
    <row r="445" spans="2:9">
      <c r="B445" s="25">
        <v>8613</v>
      </c>
      <c r="C445" s="25" t="s">
        <v>105</v>
      </c>
      <c r="D445" s="25" t="s">
        <v>90</v>
      </c>
      <c r="E445" s="25">
        <v>13</v>
      </c>
      <c r="G445" s="25">
        <v>534</v>
      </c>
      <c r="H445"/>
      <c r="I445"/>
    </row>
    <row r="446" spans="2:9">
      <c r="B446" s="25">
        <v>8612</v>
      </c>
      <c r="C446" s="25" t="s">
        <v>105</v>
      </c>
      <c r="D446" s="25" t="s">
        <v>90</v>
      </c>
      <c r="E446" s="25">
        <v>12</v>
      </c>
      <c r="G446" s="25">
        <v>504</v>
      </c>
    </row>
    <row r="447" spans="2:9">
      <c r="B447" s="25">
        <v>8611</v>
      </c>
      <c r="C447" s="25" t="s">
        <v>105</v>
      </c>
      <c r="D447" s="25" t="s">
        <v>90</v>
      </c>
      <c r="E447" s="25">
        <v>11</v>
      </c>
      <c r="G447" s="25">
        <v>480</v>
      </c>
    </row>
    <row r="448" spans="2:9">
      <c r="B448" s="25">
        <v>8610</v>
      </c>
      <c r="C448" s="25" t="s">
        <v>105</v>
      </c>
      <c r="D448" s="25" t="s">
        <v>90</v>
      </c>
      <c r="E448" s="25">
        <v>10</v>
      </c>
      <c r="G448" s="25">
        <v>461</v>
      </c>
    </row>
    <row r="449" spans="2:7">
      <c r="B449" s="25">
        <v>8609</v>
      </c>
      <c r="C449" s="25" t="s">
        <v>105</v>
      </c>
      <c r="D449" s="25" t="s">
        <v>90</v>
      </c>
      <c r="E449" s="25">
        <v>9</v>
      </c>
      <c r="G449" s="25">
        <v>452</v>
      </c>
    </row>
    <row r="450" spans="2:7">
      <c r="B450" s="25">
        <v>8608</v>
      </c>
      <c r="C450" s="25" t="s">
        <v>105</v>
      </c>
      <c r="D450" s="25" t="s">
        <v>90</v>
      </c>
      <c r="E450" s="25">
        <v>8</v>
      </c>
      <c r="G450" s="25">
        <v>436</v>
      </c>
    </row>
    <row r="451" spans="2:7">
      <c r="B451" s="25">
        <v>8607</v>
      </c>
      <c r="C451" s="25" t="s">
        <v>105</v>
      </c>
      <c r="D451" s="25" t="s">
        <v>90</v>
      </c>
      <c r="E451" s="25">
        <v>7</v>
      </c>
      <c r="G451" s="25">
        <v>416</v>
      </c>
    </row>
    <row r="452" spans="2:7">
      <c r="B452" s="25">
        <v>8606</v>
      </c>
      <c r="C452" s="25" t="s">
        <v>105</v>
      </c>
      <c r="D452" s="25" t="s">
        <v>90</v>
      </c>
      <c r="E452" s="25">
        <v>6</v>
      </c>
      <c r="G452" s="25">
        <v>401</v>
      </c>
    </row>
    <row r="453" spans="2:7">
      <c r="B453" s="25">
        <v>8605</v>
      </c>
      <c r="C453" s="25" t="s">
        <v>105</v>
      </c>
      <c r="D453" s="25" t="s">
        <v>90</v>
      </c>
      <c r="E453" s="25">
        <v>5</v>
      </c>
      <c r="G453" s="25">
        <v>390</v>
      </c>
    </row>
    <row r="454" spans="2:7">
      <c r="B454" s="25">
        <v>8604</v>
      </c>
      <c r="C454" s="25" t="s">
        <v>105</v>
      </c>
      <c r="D454" s="25" t="s">
        <v>90</v>
      </c>
      <c r="E454" s="25">
        <v>4</v>
      </c>
      <c r="G454" s="25">
        <v>379</v>
      </c>
    </row>
    <row r="455" spans="2:7">
      <c r="B455" s="25">
        <v>8603</v>
      </c>
      <c r="C455" s="25" t="s">
        <v>105</v>
      </c>
      <c r="D455" s="25" t="s">
        <v>90</v>
      </c>
      <c r="E455" s="25">
        <v>3</v>
      </c>
      <c r="G455" s="25">
        <v>369</v>
      </c>
    </row>
    <row r="456" spans="2:7">
      <c r="B456" s="25">
        <v>8602</v>
      </c>
      <c r="C456" s="25" t="s">
        <v>105</v>
      </c>
      <c r="D456" s="25" t="s">
        <v>90</v>
      </c>
      <c r="E456" s="25">
        <v>2</v>
      </c>
      <c r="G456" s="25">
        <v>362</v>
      </c>
    </row>
    <row r="457" spans="2:7">
      <c r="B457" s="25">
        <v>8601</v>
      </c>
      <c r="C457" s="25" t="s">
        <v>105</v>
      </c>
      <c r="D457" s="25" t="s">
        <v>90</v>
      </c>
      <c r="E457" s="25">
        <v>1</v>
      </c>
      <c r="G457" s="25">
        <v>356</v>
      </c>
    </row>
    <row r="458" spans="2:7">
      <c r="B458" s="25">
        <v>8113</v>
      </c>
      <c r="C458" s="25" t="s">
        <v>105</v>
      </c>
      <c r="D458" s="25" t="s">
        <v>44</v>
      </c>
      <c r="E458" s="25">
        <v>13</v>
      </c>
      <c r="G458" s="25">
        <v>503</v>
      </c>
    </row>
    <row r="459" spans="2:7">
      <c r="B459" s="25">
        <v>8112</v>
      </c>
      <c r="C459" s="25" t="s">
        <v>105</v>
      </c>
      <c r="D459" s="25" t="s">
        <v>44</v>
      </c>
      <c r="E459" s="25">
        <v>12</v>
      </c>
      <c r="G459" s="25">
        <v>477</v>
      </c>
    </row>
    <row r="460" spans="2:7">
      <c r="B460" s="25">
        <v>8111</v>
      </c>
      <c r="C460" s="25" t="s">
        <v>105</v>
      </c>
      <c r="D460" s="25" t="s">
        <v>44</v>
      </c>
      <c r="E460" s="25">
        <v>11</v>
      </c>
      <c r="G460" s="25">
        <v>457</v>
      </c>
    </row>
    <row r="461" spans="2:7">
      <c r="B461" s="25">
        <v>8110</v>
      </c>
      <c r="C461" s="25" t="s">
        <v>105</v>
      </c>
      <c r="D461" s="25" t="s">
        <v>44</v>
      </c>
      <c r="E461" s="25">
        <v>10</v>
      </c>
      <c r="G461" s="25">
        <v>441</v>
      </c>
    </row>
    <row r="462" spans="2:7">
      <c r="B462" s="25">
        <v>8109</v>
      </c>
      <c r="C462" s="25" t="s">
        <v>105</v>
      </c>
      <c r="D462" s="25" t="s">
        <v>44</v>
      </c>
      <c r="E462" s="25">
        <v>9</v>
      </c>
      <c r="G462" s="25">
        <v>431</v>
      </c>
    </row>
    <row r="463" spans="2:7">
      <c r="B463" s="25">
        <v>8108</v>
      </c>
      <c r="C463" s="25" t="s">
        <v>105</v>
      </c>
      <c r="D463" s="25" t="s">
        <v>44</v>
      </c>
      <c r="E463" s="25">
        <v>8</v>
      </c>
      <c r="G463" s="25">
        <v>415</v>
      </c>
    </row>
    <row r="464" spans="2:7">
      <c r="B464" s="25">
        <v>8107</v>
      </c>
      <c r="C464" s="25" t="s">
        <v>105</v>
      </c>
      <c r="D464" s="25" t="s">
        <v>44</v>
      </c>
      <c r="E464" s="25">
        <v>7</v>
      </c>
      <c r="G464" s="25">
        <v>396</v>
      </c>
    </row>
    <row r="465" spans="2:7">
      <c r="B465" s="25">
        <v>8106</v>
      </c>
      <c r="C465" s="25" t="s">
        <v>105</v>
      </c>
      <c r="D465" s="25" t="s">
        <v>44</v>
      </c>
      <c r="E465" s="25">
        <v>6</v>
      </c>
      <c r="G465" s="25">
        <v>381</v>
      </c>
    </row>
    <row r="466" spans="2:7">
      <c r="B466" s="25">
        <v>8105</v>
      </c>
      <c r="C466" s="25" t="s">
        <v>105</v>
      </c>
      <c r="D466" s="25" t="s">
        <v>44</v>
      </c>
      <c r="E466" s="25">
        <v>5</v>
      </c>
      <c r="G466" s="25">
        <v>369</v>
      </c>
    </row>
    <row r="467" spans="2:7">
      <c r="B467" s="25">
        <v>8104</v>
      </c>
      <c r="C467" s="25" t="s">
        <v>105</v>
      </c>
      <c r="D467" s="25" t="s">
        <v>44</v>
      </c>
      <c r="E467" s="25">
        <v>4</v>
      </c>
      <c r="G467" s="25">
        <v>361</v>
      </c>
    </row>
    <row r="468" spans="2:7">
      <c r="B468" s="25">
        <v>8103</v>
      </c>
      <c r="C468" s="25" t="s">
        <v>105</v>
      </c>
      <c r="D468" s="25" t="s">
        <v>44</v>
      </c>
      <c r="E468" s="25">
        <v>3</v>
      </c>
      <c r="G468" s="25">
        <v>355</v>
      </c>
    </row>
    <row r="469" spans="2:7">
      <c r="B469" s="25">
        <v>8102</v>
      </c>
      <c r="C469" s="25" t="s">
        <v>105</v>
      </c>
      <c r="D469" s="25" t="s">
        <v>44</v>
      </c>
      <c r="E469" s="25">
        <v>2</v>
      </c>
      <c r="G469" s="25">
        <v>349</v>
      </c>
    </row>
    <row r="470" spans="2:7">
      <c r="B470" s="25">
        <v>8101</v>
      </c>
      <c r="C470" s="25" t="s">
        <v>105</v>
      </c>
      <c r="D470" s="25" t="s">
        <v>44</v>
      </c>
      <c r="E470" s="25">
        <v>1</v>
      </c>
      <c r="G470" s="25">
        <v>343</v>
      </c>
    </row>
    <row r="471" spans="2:7">
      <c r="B471" s="25">
        <v>9710</v>
      </c>
      <c r="C471" s="25" t="s">
        <v>107</v>
      </c>
      <c r="D471" s="25" t="s">
        <v>92</v>
      </c>
      <c r="E471" s="25">
        <v>10</v>
      </c>
      <c r="G471" s="25">
        <v>466</v>
      </c>
    </row>
    <row r="472" spans="2:7">
      <c r="B472" s="25">
        <v>9709</v>
      </c>
      <c r="C472" s="25" t="s">
        <v>107</v>
      </c>
      <c r="D472" s="25" t="s">
        <v>92</v>
      </c>
      <c r="E472" s="25">
        <v>9</v>
      </c>
      <c r="G472" s="25">
        <v>450</v>
      </c>
    </row>
    <row r="473" spans="2:7">
      <c r="B473" s="25">
        <v>9708</v>
      </c>
      <c r="C473" s="25" t="s">
        <v>107</v>
      </c>
      <c r="D473" s="25" t="s">
        <v>92</v>
      </c>
      <c r="E473" s="25">
        <v>8</v>
      </c>
      <c r="G473" s="25">
        <v>430</v>
      </c>
    </row>
    <row r="474" spans="2:7">
      <c r="B474" s="25">
        <v>9707</v>
      </c>
      <c r="C474" s="25" t="s">
        <v>107</v>
      </c>
      <c r="D474" s="25" t="s">
        <v>92</v>
      </c>
      <c r="E474" s="25">
        <v>7</v>
      </c>
      <c r="G474" s="25">
        <v>415</v>
      </c>
    </row>
    <row r="475" spans="2:7">
      <c r="B475" s="25">
        <v>9706</v>
      </c>
      <c r="C475" s="25" t="s">
        <v>107</v>
      </c>
      <c r="D475" s="25" t="s">
        <v>92</v>
      </c>
      <c r="E475" s="25">
        <v>6</v>
      </c>
      <c r="G475" s="25">
        <v>403</v>
      </c>
    </row>
    <row r="476" spans="2:7">
      <c r="B476" s="25">
        <v>9705</v>
      </c>
      <c r="C476" s="25" t="s">
        <v>107</v>
      </c>
      <c r="D476" s="25" t="s">
        <v>92</v>
      </c>
      <c r="E476" s="25">
        <v>5</v>
      </c>
      <c r="G476" s="25">
        <v>393</v>
      </c>
    </row>
    <row r="477" spans="2:7">
      <c r="B477" s="25">
        <v>9704</v>
      </c>
      <c r="C477" s="25" t="s">
        <v>107</v>
      </c>
      <c r="D477" s="25" t="s">
        <v>92</v>
      </c>
      <c r="E477" s="25">
        <v>4</v>
      </c>
      <c r="G477" s="25">
        <v>380</v>
      </c>
    </row>
    <row r="478" spans="2:7">
      <c r="B478" s="25">
        <v>9703</v>
      </c>
      <c r="C478" s="25" t="s">
        <v>107</v>
      </c>
      <c r="D478" s="25" t="s">
        <v>92</v>
      </c>
      <c r="E478" s="25">
        <v>3</v>
      </c>
      <c r="G478" s="25">
        <v>368</v>
      </c>
    </row>
    <row r="479" spans="2:7">
      <c r="B479" s="25">
        <v>9702</v>
      </c>
      <c r="C479" s="25" t="s">
        <v>107</v>
      </c>
      <c r="D479" s="25" t="s">
        <v>92</v>
      </c>
      <c r="E479" s="25">
        <v>2</v>
      </c>
      <c r="G479" s="25">
        <v>358</v>
      </c>
    </row>
    <row r="480" spans="2:7">
      <c r="B480" s="25">
        <v>9701</v>
      </c>
      <c r="C480" s="25" t="s">
        <v>107</v>
      </c>
      <c r="D480" s="25" t="s">
        <v>92</v>
      </c>
      <c r="E480" s="25">
        <v>1</v>
      </c>
      <c r="G480" s="25">
        <v>350</v>
      </c>
    </row>
    <row r="481" spans="2:7">
      <c r="B481" s="25">
        <v>9812</v>
      </c>
      <c r="C481" s="25" t="s">
        <v>107</v>
      </c>
      <c r="D481" s="25" t="s">
        <v>96</v>
      </c>
      <c r="E481" s="25">
        <v>12</v>
      </c>
      <c r="G481" s="25">
        <v>418</v>
      </c>
    </row>
    <row r="482" spans="2:7">
      <c r="B482" s="25">
        <v>9811</v>
      </c>
      <c r="C482" s="25" t="s">
        <v>107</v>
      </c>
      <c r="D482" s="25" t="s">
        <v>96</v>
      </c>
      <c r="E482" s="25">
        <v>11</v>
      </c>
      <c r="G482" s="25">
        <v>411</v>
      </c>
    </row>
    <row r="483" spans="2:7">
      <c r="B483" s="25">
        <v>9810</v>
      </c>
      <c r="C483" s="25" t="s">
        <v>107</v>
      </c>
      <c r="D483" s="25" t="s">
        <v>96</v>
      </c>
      <c r="E483" s="25">
        <v>10</v>
      </c>
      <c r="G483" s="25">
        <v>402</v>
      </c>
    </row>
    <row r="484" spans="2:7">
      <c r="B484" s="25">
        <v>9809</v>
      </c>
      <c r="C484" s="25" t="s">
        <v>107</v>
      </c>
      <c r="D484" s="25" t="s">
        <v>96</v>
      </c>
      <c r="E484" s="25">
        <v>9</v>
      </c>
      <c r="G484" s="25">
        <v>390</v>
      </c>
    </row>
    <row r="485" spans="2:7">
      <c r="B485" s="25">
        <v>9808</v>
      </c>
      <c r="C485" s="25" t="s">
        <v>107</v>
      </c>
      <c r="D485" s="25" t="s">
        <v>96</v>
      </c>
      <c r="E485" s="25">
        <v>8</v>
      </c>
      <c r="G485" s="25">
        <v>380</v>
      </c>
    </row>
    <row r="486" spans="2:7">
      <c r="B486" s="25">
        <v>9807</v>
      </c>
      <c r="C486" s="25" t="s">
        <v>107</v>
      </c>
      <c r="D486" s="25" t="s">
        <v>96</v>
      </c>
      <c r="E486" s="25">
        <v>7</v>
      </c>
      <c r="G486" s="25">
        <v>364</v>
      </c>
    </row>
    <row r="487" spans="2:7">
      <c r="B487" s="25">
        <v>9806</v>
      </c>
      <c r="C487" s="25" t="s">
        <v>107</v>
      </c>
      <c r="D487" s="25" t="s">
        <v>96</v>
      </c>
      <c r="E487" s="25">
        <v>6</v>
      </c>
      <c r="G487" s="25">
        <v>351</v>
      </c>
    </row>
    <row r="488" spans="2:7">
      <c r="B488" s="25">
        <v>9805</v>
      </c>
      <c r="C488" s="25" t="s">
        <v>107</v>
      </c>
      <c r="D488" s="25" t="s">
        <v>96</v>
      </c>
      <c r="E488" s="25">
        <v>5</v>
      </c>
      <c r="G488" s="25">
        <v>345</v>
      </c>
    </row>
    <row r="489" spans="2:7">
      <c r="B489" s="25">
        <v>9804</v>
      </c>
      <c r="C489" s="25" t="s">
        <v>107</v>
      </c>
      <c r="D489" s="25" t="s">
        <v>96</v>
      </c>
      <c r="E489" s="25">
        <v>4</v>
      </c>
      <c r="G489" s="25">
        <v>336</v>
      </c>
    </row>
    <row r="490" spans="2:7">
      <c r="B490" s="25">
        <v>9803</v>
      </c>
      <c r="C490" s="25" t="s">
        <v>107</v>
      </c>
      <c r="D490" s="25" t="s">
        <v>96</v>
      </c>
      <c r="E490" s="25">
        <v>3</v>
      </c>
      <c r="G490" s="25">
        <v>333</v>
      </c>
    </row>
    <row r="491" spans="2:7">
      <c r="B491" s="25">
        <v>9802</v>
      </c>
      <c r="C491" s="25" t="s">
        <v>107</v>
      </c>
      <c r="D491" s="25" t="s">
        <v>96</v>
      </c>
      <c r="E491" s="25">
        <v>2</v>
      </c>
      <c r="G491" s="25">
        <v>330</v>
      </c>
    </row>
    <row r="492" spans="2:7">
      <c r="B492" s="25">
        <v>9801</v>
      </c>
      <c r="C492" s="25" t="s">
        <v>107</v>
      </c>
      <c r="D492" s="25" t="s">
        <v>96</v>
      </c>
      <c r="E492" s="25">
        <v>1</v>
      </c>
      <c r="G492" s="25">
        <v>328</v>
      </c>
    </row>
    <row r="493" spans="2:7">
      <c r="B493" s="25">
        <v>9111</v>
      </c>
      <c r="C493" s="25" t="s">
        <v>107</v>
      </c>
      <c r="D493" s="25"/>
      <c r="E493" s="25">
        <v>11</v>
      </c>
      <c r="G493" s="25">
        <v>367</v>
      </c>
    </row>
    <row r="494" spans="2:7">
      <c r="B494" s="25">
        <v>9110</v>
      </c>
      <c r="C494" s="25" t="s">
        <v>107</v>
      </c>
      <c r="D494" s="25"/>
      <c r="E494" s="25">
        <v>10</v>
      </c>
      <c r="G494" s="25">
        <v>354</v>
      </c>
    </row>
    <row r="495" spans="2:7">
      <c r="B495" s="25">
        <v>9109</v>
      </c>
      <c r="C495" s="25" t="s">
        <v>107</v>
      </c>
      <c r="D495" s="25"/>
      <c r="E495" s="25">
        <v>9</v>
      </c>
      <c r="G495" s="25">
        <v>343</v>
      </c>
    </row>
    <row r="496" spans="2:7">
      <c r="B496" s="25">
        <v>9108</v>
      </c>
      <c r="C496" s="25" t="s">
        <v>107</v>
      </c>
      <c r="D496" s="25"/>
      <c r="E496" s="25">
        <v>8</v>
      </c>
      <c r="G496" s="25">
        <v>339</v>
      </c>
    </row>
    <row r="497" spans="2:7">
      <c r="B497" s="25">
        <v>9107</v>
      </c>
      <c r="C497" s="25" t="s">
        <v>107</v>
      </c>
      <c r="D497" s="25"/>
      <c r="E497" s="25">
        <v>7</v>
      </c>
      <c r="G497" s="25">
        <v>335</v>
      </c>
    </row>
    <row r="498" spans="2:7">
      <c r="B498" s="25">
        <v>9106</v>
      </c>
      <c r="C498" s="25" t="s">
        <v>107</v>
      </c>
      <c r="D498" s="25"/>
      <c r="E498" s="25">
        <v>6</v>
      </c>
      <c r="G498" s="25">
        <v>332</v>
      </c>
    </row>
    <row r="499" spans="2:7">
      <c r="B499" s="25">
        <v>9105</v>
      </c>
      <c r="C499" s="25" t="s">
        <v>107</v>
      </c>
      <c r="D499" s="25"/>
      <c r="E499" s="25">
        <v>5</v>
      </c>
      <c r="G499" s="25">
        <v>330</v>
      </c>
    </row>
    <row r="500" spans="2:7">
      <c r="B500" s="25">
        <v>9104</v>
      </c>
      <c r="C500" s="25" t="s">
        <v>107</v>
      </c>
      <c r="D500" s="25"/>
      <c r="E500" s="25">
        <v>4</v>
      </c>
      <c r="G500" s="25">
        <v>329</v>
      </c>
    </row>
    <row r="501" spans="2:7">
      <c r="B501" s="25">
        <v>9103</v>
      </c>
      <c r="C501" s="25" t="s">
        <v>107</v>
      </c>
      <c r="D501" s="25"/>
      <c r="E501" s="25">
        <v>3</v>
      </c>
      <c r="G501" s="25">
        <v>328</v>
      </c>
    </row>
    <row r="502" spans="2:7">
      <c r="B502" s="25">
        <v>9102</v>
      </c>
      <c r="C502" s="25" t="s">
        <v>107</v>
      </c>
      <c r="D502" s="25"/>
      <c r="E502" s="25">
        <v>2</v>
      </c>
      <c r="G502" s="25">
        <v>327</v>
      </c>
    </row>
    <row r="503" spans="2:7">
      <c r="B503" s="25">
        <v>9101</v>
      </c>
      <c r="C503" s="25" t="s">
        <v>107</v>
      </c>
      <c r="D503" s="25"/>
      <c r="E503" s="25">
        <v>1</v>
      </c>
      <c r="G503" s="25">
        <v>326</v>
      </c>
    </row>
    <row r="504" spans="2:7">
      <c r="B504" s="25">
        <v>14125</v>
      </c>
      <c r="C504" s="25" t="s">
        <v>114</v>
      </c>
      <c r="D504" s="25"/>
      <c r="E504" s="25" t="s">
        <v>126</v>
      </c>
      <c r="G504" s="25">
        <v>1173</v>
      </c>
    </row>
    <row r="505" spans="2:7">
      <c r="B505" s="25">
        <v>14124</v>
      </c>
      <c r="C505" s="25" t="s">
        <v>114</v>
      </c>
      <c r="D505" s="25"/>
      <c r="E505" s="25" t="s">
        <v>124</v>
      </c>
      <c r="G505" s="25">
        <v>1148</v>
      </c>
    </row>
    <row r="506" spans="2:7">
      <c r="B506" s="25">
        <v>14123</v>
      </c>
      <c r="C506" s="25" t="s">
        <v>114</v>
      </c>
      <c r="D506" s="25"/>
      <c r="E506" s="25" t="s">
        <v>122</v>
      </c>
      <c r="G506" s="25">
        <v>1124</v>
      </c>
    </row>
    <row r="507" spans="2:7">
      <c r="B507" s="25">
        <v>14122</v>
      </c>
      <c r="C507" s="25" t="s">
        <v>114</v>
      </c>
      <c r="D507" s="25"/>
      <c r="E507" s="25" t="s">
        <v>50</v>
      </c>
      <c r="G507" s="25">
        <v>1067</v>
      </c>
    </row>
    <row r="508" spans="2:7">
      <c r="B508" s="25">
        <v>14121</v>
      </c>
      <c r="C508" s="25" t="s">
        <v>114</v>
      </c>
      <c r="D508" s="25"/>
      <c r="E508" s="25" t="s">
        <v>119</v>
      </c>
      <c r="G508" s="25">
        <v>1013</v>
      </c>
    </row>
    <row r="509" spans="2:7">
      <c r="B509" s="25">
        <v>14120</v>
      </c>
      <c r="C509" s="25" t="s">
        <v>114</v>
      </c>
      <c r="D509" s="25"/>
      <c r="E509" s="25" t="s">
        <v>117</v>
      </c>
      <c r="G509" s="25">
        <v>972</v>
      </c>
    </row>
    <row r="510" spans="2:7">
      <c r="B510" s="25">
        <v>14102</v>
      </c>
      <c r="C510" s="25" t="s">
        <v>114</v>
      </c>
      <c r="D510" s="25"/>
      <c r="E510" s="25">
        <v>2</v>
      </c>
      <c r="G510" s="25">
        <v>830</v>
      </c>
    </row>
    <row r="511" spans="2:7">
      <c r="B511" s="25">
        <v>14101</v>
      </c>
      <c r="C511" s="25" t="s">
        <v>114</v>
      </c>
      <c r="D511" s="25"/>
      <c r="E511" s="25">
        <v>1</v>
      </c>
      <c r="G511" s="25">
        <v>743</v>
      </c>
    </row>
    <row r="512" spans="2:7">
      <c r="B512" s="25">
        <v>14119</v>
      </c>
      <c r="C512" s="25" t="s">
        <v>114</v>
      </c>
      <c r="D512" s="25"/>
      <c r="E512" s="25" t="s">
        <v>115</v>
      </c>
      <c r="G512" s="25">
        <v>972</v>
      </c>
    </row>
    <row r="513" spans="2:7">
      <c r="B513" s="25">
        <v>14118</v>
      </c>
      <c r="C513" s="25" t="s">
        <v>114</v>
      </c>
      <c r="D513" s="25"/>
      <c r="E513" s="25" t="s">
        <v>113</v>
      </c>
      <c r="G513" s="25">
        <v>925</v>
      </c>
    </row>
    <row r="514" spans="2:7">
      <c r="B514" s="25">
        <v>14117</v>
      </c>
      <c r="C514" s="25" t="s">
        <v>114</v>
      </c>
      <c r="D514" s="25"/>
      <c r="E514" s="25" t="s">
        <v>111</v>
      </c>
      <c r="G514" s="25">
        <v>890</v>
      </c>
    </row>
    <row r="515" spans="2:7">
      <c r="B515" s="25">
        <v>14105</v>
      </c>
      <c r="C515" s="25" t="s">
        <v>114</v>
      </c>
      <c r="D515" s="25"/>
      <c r="E515" s="25">
        <v>5</v>
      </c>
      <c r="G515" s="25">
        <v>830</v>
      </c>
    </row>
    <row r="516" spans="2:7">
      <c r="B516" s="25">
        <v>14104</v>
      </c>
      <c r="C516" s="25" t="s">
        <v>114</v>
      </c>
      <c r="D516" s="25"/>
      <c r="E516" s="25">
        <v>4</v>
      </c>
      <c r="G516" s="25">
        <v>805</v>
      </c>
    </row>
    <row r="517" spans="2:7">
      <c r="B517" s="25">
        <v>14103</v>
      </c>
      <c r="C517" s="25" t="s">
        <v>114</v>
      </c>
      <c r="D517" s="25"/>
      <c r="E517" s="25">
        <v>3</v>
      </c>
      <c r="G517" s="25">
        <v>734</v>
      </c>
    </row>
    <row r="518" spans="2:7">
      <c r="B518" s="25">
        <v>14102</v>
      </c>
      <c r="C518" s="25" t="s">
        <v>114</v>
      </c>
      <c r="D518" s="25"/>
      <c r="E518" s="25">
        <v>2</v>
      </c>
      <c r="G518" s="25">
        <v>663</v>
      </c>
    </row>
    <row r="519" spans="2:7">
      <c r="B519" s="25">
        <v>14101</v>
      </c>
      <c r="C519" s="25" t="s">
        <v>114</v>
      </c>
      <c r="D519" s="25"/>
      <c r="E519" s="25">
        <v>1</v>
      </c>
      <c r="G519" s="25">
        <v>602</v>
      </c>
    </row>
    <row r="520" spans="2:7">
      <c r="B520" s="25">
        <v>15107</v>
      </c>
      <c r="C520" s="25" t="s">
        <v>116</v>
      </c>
      <c r="D520" s="25"/>
      <c r="E520" s="25">
        <v>7</v>
      </c>
      <c r="G520" s="25">
        <v>710</v>
      </c>
    </row>
    <row r="521" spans="2:7">
      <c r="B521" s="25">
        <v>15106</v>
      </c>
      <c r="C521" s="25" t="s">
        <v>116</v>
      </c>
      <c r="D521" s="25"/>
      <c r="E521" s="25">
        <v>6</v>
      </c>
      <c r="G521" s="25">
        <v>653</v>
      </c>
    </row>
    <row r="522" spans="2:7">
      <c r="B522" s="25">
        <v>15105</v>
      </c>
      <c r="C522" s="25" t="s">
        <v>116</v>
      </c>
      <c r="D522" s="25"/>
      <c r="E522" s="25">
        <v>5</v>
      </c>
      <c r="G522" s="25">
        <v>596</v>
      </c>
    </row>
    <row r="523" spans="2:7">
      <c r="B523" s="25">
        <v>15104</v>
      </c>
      <c r="C523" s="25" t="s">
        <v>116</v>
      </c>
      <c r="D523" s="25"/>
      <c r="E523" s="25">
        <v>4</v>
      </c>
      <c r="G523" s="25">
        <v>555</v>
      </c>
    </row>
    <row r="524" spans="2:7">
      <c r="B524" s="25">
        <v>15103</v>
      </c>
      <c r="C524" s="25" t="s">
        <v>116</v>
      </c>
      <c r="D524" s="25"/>
      <c r="E524" s="25">
        <v>3</v>
      </c>
      <c r="G524" s="25">
        <v>514</v>
      </c>
    </row>
    <row r="525" spans="2:7">
      <c r="B525" s="25">
        <v>15102</v>
      </c>
      <c r="C525" s="25" t="s">
        <v>116</v>
      </c>
      <c r="D525" s="25"/>
      <c r="E525" s="25">
        <v>2</v>
      </c>
      <c r="G525" s="25">
        <v>473</v>
      </c>
    </row>
    <row r="526" spans="2:7">
      <c r="B526" s="25">
        <v>15101</v>
      </c>
      <c r="C526" s="25" t="s">
        <v>116</v>
      </c>
      <c r="D526" s="25"/>
      <c r="E526" s="25">
        <v>1</v>
      </c>
      <c r="G526" s="25">
        <v>444</v>
      </c>
    </row>
    <row r="527" spans="2:7">
      <c r="B527" s="25">
        <v>16101</v>
      </c>
      <c r="C527" s="25" t="s">
        <v>118</v>
      </c>
      <c r="D527" s="25"/>
      <c r="E527" s="25">
        <v>1</v>
      </c>
      <c r="G527" s="25">
        <v>402</v>
      </c>
    </row>
    <row r="528" spans="2:7">
      <c r="B528" s="25">
        <v>17209</v>
      </c>
      <c r="C528" s="25" t="s">
        <v>120</v>
      </c>
      <c r="D528" s="25" t="s">
        <v>45</v>
      </c>
      <c r="E528" s="25">
        <v>9</v>
      </c>
      <c r="G528" s="25">
        <v>798</v>
      </c>
    </row>
    <row r="529" spans="2:7">
      <c r="B529" s="25">
        <v>17208</v>
      </c>
      <c r="C529" s="25" t="s">
        <v>120</v>
      </c>
      <c r="D529" s="25" t="s">
        <v>45</v>
      </c>
      <c r="E529" s="25">
        <v>8</v>
      </c>
      <c r="G529" s="25">
        <v>760</v>
      </c>
    </row>
    <row r="530" spans="2:7">
      <c r="B530" s="25">
        <v>17207</v>
      </c>
      <c r="C530" s="25" t="s">
        <v>120</v>
      </c>
      <c r="D530" s="25" t="s">
        <v>45</v>
      </c>
      <c r="E530" s="25">
        <v>7</v>
      </c>
      <c r="G530" s="25">
        <v>722</v>
      </c>
    </row>
    <row r="531" spans="2:7">
      <c r="B531" s="25">
        <v>17206</v>
      </c>
      <c r="C531" s="25" t="s">
        <v>120</v>
      </c>
      <c r="D531" s="25" t="s">
        <v>45</v>
      </c>
      <c r="E531" s="25">
        <v>6</v>
      </c>
      <c r="G531" s="25">
        <v>685</v>
      </c>
    </row>
    <row r="532" spans="2:7">
      <c r="B532" s="25">
        <v>17205</v>
      </c>
      <c r="C532" s="25" t="s">
        <v>120</v>
      </c>
      <c r="D532" s="25" t="s">
        <v>45</v>
      </c>
      <c r="E532" s="25">
        <v>5</v>
      </c>
      <c r="G532" s="25">
        <v>645</v>
      </c>
    </row>
    <row r="533" spans="2:7">
      <c r="B533" s="25">
        <v>17204</v>
      </c>
      <c r="C533" s="25" t="s">
        <v>120</v>
      </c>
      <c r="D533" s="25" t="s">
        <v>45</v>
      </c>
      <c r="E533" s="25">
        <v>4</v>
      </c>
      <c r="G533" s="25">
        <v>605</v>
      </c>
    </row>
    <row r="534" spans="2:7">
      <c r="B534" s="25">
        <v>17203</v>
      </c>
      <c r="C534" s="25" t="s">
        <v>120</v>
      </c>
      <c r="D534" s="25" t="s">
        <v>45</v>
      </c>
      <c r="E534" s="25">
        <v>3</v>
      </c>
      <c r="G534" s="25">
        <v>565</v>
      </c>
    </row>
    <row r="535" spans="2:7">
      <c r="B535" s="25">
        <v>17202</v>
      </c>
      <c r="C535" s="25" t="s">
        <v>120</v>
      </c>
      <c r="D535" s="25" t="s">
        <v>45</v>
      </c>
      <c r="E535" s="25">
        <v>2</v>
      </c>
      <c r="G535" s="25">
        <v>530</v>
      </c>
    </row>
    <row r="536" spans="2:7">
      <c r="B536" s="25">
        <v>17201</v>
      </c>
      <c r="C536" s="25" t="s">
        <v>120</v>
      </c>
      <c r="D536" s="25" t="s">
        <v>45</v>
      </c>
      <c r="E536" s="25">
        <v>1</v>
      </c>
      <c r="G536" s="25">
        <v>494</v>
      </c>
    </row>
    <row r="537" spans="2:7">
      <c r="B537" s="25">
        <v>17111</v>
      </c>
      <c r="C537" s="25" t="s">
        <v>120</v>
      </c>
      <c r="D537" s="25" t="s">
        <v>44</v>
      </c>
      <c r="E537" s="25">
        <v>11</v>
      </c>
      <c r="G537" s="25">
        <v>669</v>
      </c>
    </row>
    <row r="538" spans="2:7">
      <c r="B538" s="25">
        <v>17110</v>
      </c>
      <c r="C538" s="25" t="s">
        <v>120</v>
      </c>
      <c r="D538" s="25" t="s">
        <v>44</v>
      </c>
      <c r="E538" s="25">
        <v>10</v>
      </c>
      <c r="G538" s="25">
        <v>640</v>
      </c>
    </row>
    <row r="539" spans="2:7">
      <c r="B539" s="25">
        <v>17109</v>
      </c>
      <c r="C539" s="25" t="s">
        <v>120</v>
      </c>
      <c r="D539" s="25" t="s">
        <v>44</v>
      </c>
      <c r="E539" s="25">
        <v>9</v>
      </c>
      <c r="G539" s="25">
        <v>595</v>
      </c>
    </row>
    <row r="540" spans="2:7">
      <c r="B540" s="25">
        <v>17108</v>
      </c>
      <c r="C540" s="25" t="s">
        <v>120</v>
      </c>
      <c r="D540" s="25" t="s">
        <v>44</v>
      </c>
      <c r="E540" s="25">
        <v>8</v>
      </c>
      <c r="G540" s="25">
        <v>565</v>
      </c>
    </row>
    <row r="541" spans="2:7">
      <c r="B541" s="25">
        <v>17107</v>
      </c>
      <c r="C541" s="25" t="s">
        <v>120</v>
      </c>
      <c r="D541" s="25" t="s">
        <v>44</v>
      </c>
      <c r="E541" s="25">
        <v>7</v>
      </c>
      <c r="G541" s="25">
        <v>537</v>
      </c>
    </row>
    <row r="542" spans="2:7">
      <c r="B542" s="25">
        <v>17106</v>
      </c>
      <c r="C542" s="25" t="s">
        <v>120</v>
      </c>
      <c r="D542" s="25" t="s">
        <v>44</v>
      </c>
      <c r="E542" s="25">
        <v>6</v>
      </c>
      <c r="G542" s="25">
        <v>510</v>
      </c>
    </row>
    <row r="543" spans="2:7">
      <c r="B543" s="25">
        <v>17105</v>
      </c>
      <c r="C543" s="25" t="s">
        <v>120</v>
      </c>
      <c r="D543" s="25" t="s">
        <v>44</v>
      </c>
      <c r="E543" s="25">
        <v>5</v>
      </c>
      <c r="G543" s="25">
        <v>477</v>
      </c>
    </row>
    <row r="544" spans="2:7">
      <c r="B544" s="25">
        <v>17104</v>
      </c>
      <c r="C544" s="25" t="s">
        <v>120</v>
      </c>
      <c r="D544" s="25" t="s">
        <v>44</v>
      </c>
      <c r="E544" s="25">
        <v>4</v>
      </c>
      <c r="G544" s="25">
        <v>449</v>
      </c>
    </row>
    <row r="545" spans="2:7">
      <c r="B545" s="25">
        <v>17103</v>
      </c>
      <c r="C545" s="25" t="s">
        <v>120</v>
      </c>
      <c r="D545" s="25" t="s">
        <v>44</v>
      </c>
      <c r="E545" s="25">
        <v>3</v>
      </c>
      <c r="G545" s="25">
        <v>423</v>
      </c>
    </row>
    <row r="546" spans="2:7">
      <c r="B546" s="25">
        <v>17102</v>
      </c>
      <c r="C546" s="25" t="s">
        <v>120</v>
      </c>
      <c r="D546" s="25" t="s">
        <v>44</v>
      </c>
      <c r="E546" s="25">
        <v>2</v>
      </c>
      <c r="G546" s="25">
        <v>405</v>
      </c>
    </row>
    <row r="547" spans="2:7">
      <c r="B547" s="25">
        <v>17101</v>
      </c>
      <c r="C547" s="25" t="s">
        <v>120</v>
      </c>
      <c r="D547" s="25" t="s">
        <v>44</v>
      </c>
      <c r="E547" s="25">
        <v>1</v>
      </c>
      <c r="G547" s="25">
        <v>388</v>
      </c>
    </row>
    <row r="548" spans="2:7">
      <c r="B548" s="25">
        <v>18511</v>
      </c>
      <c r="C548" s="25" t="s">
        <v>121</v>
      </c>
      <c r="D548" s="25" t="s">
        <v>49</v>
      </c>
      <c r="E548" s="25">
        <v>11</v>
      </c>
      <c r="G548" s="25">
        <v>587</v>
      </c>
    </row>
    <row r="549" spans="2:7">
      <c r="B549" s="25">
        <v>18510</v>
      </c>
      <c r="C549" s="25" t="s">
        <v>121</v>
      </c>
      <c r="D549" s="25" t="s">
        <v>49</v>
      </c>
      <c r="E549" s="25">
        <v>10</v>
      </c>
      <c r="G549" s="25">
        <v>569</v>
      </c>
    </row>
    <row r="550" spans="2:7">
      <c r="B550" s="25">
        <v>18509</v>
      </c>
      <c r="C550" s="25" t="s">
        <v>121</v>
      </c>
      <c r="D550" s="25" t="s">
        <v>49</v>
      </c>
      <c r="E550" s="25">
        <v>9</v>
      </c>
      <c r="G550" s="25">
        <v>551</v>
      </c>
    </row>
    <row r="551" spans="2:7">
      <c r="B551" s="25">
        <v>18508</v>
      </c>
      <c r="C551" s="25" t="s">
        <v>121</v>
      </c>
      <c r="D551" s="25" t="s">
        <v>49</v>
      </c>
      <c r="E551" s="25">
        <v>8</v>
      </c>
      <c r="G551" s="25">
        <v>534</v>
      </c>
    </row>
    <row r="552" spans="2:7">
      <c r="B552" s="25">
        <v>18507</v>
      </c>
      <c r="C552" s="25" t="s">
        <v>121</v>
      </c>
      <c r="D552" s="25" t="s">
        <v>49</v>
      </c>
      <c r="E552" s="25">
        <v>7</v>
      </c>
      <c r="G552" s="25">
        <v>508</v>
      </c>
    </row>
    <row r="553" spans="2:7">
      <c r="B553" s="25">
        <v>18506</v>
      </c>
      <c r="C553" s="25" t="s">
        <v>121</v>
      </c>
      <c r="D553" s="25" t="s">
        <v>49</v>
      </c>
      <c r="E553" s="25">
        <v>6</v>
      </c>
      <c r="G553" s="25">
        <v>484</v>
      </c>
    </row>
    <row r="554" spans="2:7">
      <c r="B554" s="25">
        <v>18505</v>
      </c>
      <c r="C554" s="25" t="s">
        <v>121</v>
      </c>
      <c r="D554" s="25" t="s">
        <v>49</v>
      </c>
      <c r="E554" s="25">
        <v>5</v>
      </c>
      <c r="G554" s="25">
        <v>465</v>
      </c>
    </row>
    <row r="555" spans="2:7">
      <c r="B555" s="25">
        <v>18504</v>
      </c>
      <c r="C555" s="25" t="s">
        <v>121</v>
      </c>
      <c r="D555" s="25" t="s">
        <v>49</v>
      </c>
      <c r="E555" s="25">
        <v>4</v>
      </c>
      <c r="G555" s="25">
        <v>441</v>
      </c>
    </row>
    <row r="556" spans="2:7">
      <c r="B556" s="25">
        <v>18503</v>
      </c>
      <c r="C556" s="25" t="s">
        <v>121</v>
      </c>
      <c r="D556" s="25" t="s">
        <v>49</v>
      </c>
      <c r="E556" s="25">
        <v>3</v>
      </c>
      <c r="G556" s="25">
        <v>419</v>
      </c>
    </row>
    <row r="557" spans="2:7">
      <c r="B557" s="25">
        <v>18502</v>
      </c>
      <c r="C557" s="25" t="s">
        <v>121</v>
      </c>
      <c r="D557" s="25" t="s">
        <v>49</v>
      </c>
      <c r="E557" s="25">
        <v>2</v>
      </c>
      <c r="G557" s="25">
        <v>404</v>
      </c>
    </row>
    <row r="558" spans="2:7">
      <c r="B558" s="25">
        <v>18501</v>
      </c>
      <c r="C558" s="25" t="s">
        <v>121</v>
      </c>
      <c r="D558" s="25" t="s">
        <v>49</v>
      </c>
      <c r="E558" s="25">
        <v>1</v>
      </c>
      <c r="G558" s="25">
        <v>392</v>
      </c>
    </row>
    <row r="559" spans="2:7">
      <c r="B559" s="25">
        <v>18613</v>
      </c>
      <c r="C559" s="25" t="s">
        <v>121</v>
      </c>
      <c r="D559" s="25" t="s">
        <v>90</v>
      </c>
      <c r="E559" s="25">
        <v>13</v>
      </c>
      <c r="G559" s="25">
        <v>534</v>
      </c>
    </row>
    <row r="560" spans="2:7">
      <c r="B560" s="25">
        <v>18612</v>
      </c>
      <c r="C560" s="25" t="s">
        <v>121</v>
      </c>
      <c r="D560" s="25" t="s">
        <v>90</v>
      </c>
      <c r="E560" s="25">
        <v>12</v>
      </c>
      <c r="G560" s="25">
        <v>504</v>
      </c>
    </row>
    <row r="561" spans="2:7">
      <c r="B561" s="25">
        <v>18611</v>
      </c>
      <c r="C561" s="25" t="s">
        <v>121</v>
      </c>
      <c r="D561" s="25" t="s">
        <v>90</v>
      </c>
      <c r="E561" s="25">
        <v>11</v>
      </c>
      <c r="G561" s="25">
        <v>480</v>
      </c>
    </row>
    <row r="562" spans="2:7">
      <c r="B562" s="25">
        <v>18610</v>
      </c>
      <c r="C562" s="25" t="s">
        <v>121</v>
      </c>
      <c r="D562" s="25" t="s">
        <v>90</v>
      </c>
      <c r="E562" s="25">
        <v>10</v>
      </c>
      <c r="G562" s="25">
        <v>461</v>
      </c>
    </row>
    <row r="563" spans="2:7">
      <c r="B563" s="25">
        <v>18609</v>
      </c>
      <c r="C563" s="25" t="s">
        <v>121</v>
      </c>
      <c r="D563" s="25" t="s">
        <v>90</v>
      </c>
      <c r="E563" s="25">
        <v>9</v>
      </c>
      <c r="G563" s="25">
        <v>452</v>
      </c>
    </row>
    <row r="564" spans="2:7">
      <c r="B564" s="25">
        <v>18608</v>
      </c>
      <c r="C564" s="25" t="s">
        <v>121</v>
      </c>
      <c r="D564" s="25" t="s">
        <v>90</v>
      </c>
      <c r="E564" s="25">
        <v>8</v>
      </c>
      <c r="G564" s="25">
        <v>436</v>
      </c>
    </row>
    <row r="565" spans="2:7">
      <c r="B565" s="25">
        <v>18607</v>
      </c>
      <c r="C565" s="25" t="s">
        <v>121</v>
      </c>
      <c r="D565" s="25" t="s">
        <v>90</v>
      </c>
      <c r="E565" s="25">
        <v>7</v>
      </c>
      <c r="G565" s="25">
        <v>416</v>
      </c>
    </row>
    <row r="566" spans="2:7">
      <c r="B566" s="25">
        <v>18606</v>
      </c>
      <c r="C566" s="25" t="s">
        <v>121</v>
      </c>
      <c r="D566" s="25" t="s">
        <v>90</v>
      </c>
      <c r="E566" s="25">
        <v>6</v>
      </c>
      <c r="G566" s="25">
        <v>401</v>
      </c>
    </row>
    <row r="567" spans="2:7">
      <c r="B567" s="25">
        <v>18605</v>
      </c>
      <c r="C567" s="25" t="s">
        <v>121</v>
      </c>
      <c r="D567" s="25" t="s">
        <v>90</v>
      </c>
      <c r="E567" s="25">
        <v>5</v>
      </c>
      <c r="G567" s="25">
        <v>390</v>
      </c>
    </row>
    <row r="568" spans="2:7">
      <c r="B568" s="25">
        <v>18604</v>
      </c>
      <c r="C568" s="25" t="s">
        <v>121</v>
      </c>
      <c r="D568" s="25" t="s">
        <v>90</v>
      </c>
      <c r="E568" s="25">
        <v>4</v>
      </c>
      <c r="G568" s="25">
        <v>379</v>
      </c>
    </row>
    <row r="569" spans="2:7">
      <c r="B569" s="25">
        <v>18603</v>
      </c>
      <c r="C569" s="25" t="s">
        <v>121</v>
      </c>
      <c r="D569" s="25" t="s">
        <v>90</v>
      </c>
      <c r="E569" s="25">
        <v>3</v>
      </c>
      <c r="G569" s="25">
        <v>369</v>
      </c>
    </row>
    <row r="570" spans="2:7">
      <c r="B570" s="25">
        <v>18602</v>
      </c>
      <c r="C570" s="25" t="s">
        <v>121</v>
      </c>
      <c r="D570" s="25" t="s">
        <v>90</v>
      </c>
      <c r="E570" s="25">
        <v>2</v>
      </c>
      <c r="G570" s="25">
        <v>362</v>
      </c>
    </row>
    <row r="571" spans="2:7">
      <c r="B571" s="25">
        <v>18601</v>
      </c>
      <c r="C571" s="25" t="s">
        <v>121</v>
      </c>
      <c r="D571" s="25" t="s">
        <v>90</v>
      </c>
      <c r="E571" s="25">
        <v>1</v>
      </c>
      <c r="G571" s="25">
        <v>356</v>
      </c>
    </row>
    <row r="572" spans="2:7">
      <c r="B572" s="25">
        <v>18113</v>
      </c>
      <c r="C572" s="25" t="s">
        <v>121</v>
      </c>
      <c r="D572" s="25" t="s">
        <v>44</v>
      </c>
      <c r="E572" s="25">
        <v>13</v>
      </c>
      <c r="G572" s="25">
        <v>503</v>
      </c>
    </row>
    <row r="573" spans="2:7">
      <c r="B573" s="25">
        <v>18112</v>
      </c>
      <c r="C573" s="25" t="s">
        <v>121</v>
      </c>
      <c r="D573" s="25" t="s">
        <v>44</v>
      </c>
      <c r="E573" s="25">
        <v>12</v>
      </c>
      <c r="G573" s="25">
        <v>477</v>
      </c>
    </row>
    <row r="574" spans="2:7">
      <c r="B574" s="25">
        <v>18111</v>
      </c>
      <c r="C574" s="25" t="s">
        <v>121</v>
      </c>
      <c r="D574" s="25" t="s">
        <v>44</v>
      </c>
      <c r="E574" s="25">
        <v>11</v>
      </c>
      <c r="G574" s="25">
        <v>457</v>
      </c>
    </row>
    <row r="575" spans="2:7">
      <c r="B575" s="25">
        <v>18110</v>
      </c>
      <c r="C575" s="25" t="s">
        <v>121</v>
      </c>
      <c r="D575" s="25" t="s">
        <v>44</v>
      </c>
      <c r="E575" s="25">
        <v>10</v>
      </c>
      <c r="G575" s="25">
        <v>441</v>
      </c>
    </row>
    <row r="576" spans="2:7">
      <c r="B576" s="25">
        <v>18109</v>
      </c>
      <c r="C576" s="25" t="s">
        <v>121</v>
      </c>
      <c r="D576" s="25" t="s">
        <v>44</v>
      </c>
      <c r="E576" s="25">
        <v>9</v>
      </c>
      <c r="G576" s="25">
        <v>431</v>
      </c>
    </row>
    <row r="577" spans="2:7">
      <c r="B577" s="25">
        <v>18108</v>
      </c>
      <c r="C577" s="25" t="s">
        <v>121</v>
      </c>
      <c r="D577" s="25" t="s">
        <v>44</v>
      </c>
      <c r="E577" s="25">
        <v>8</v>
      </c>
      <c r="G577" s="25">
        <v>415</v>
      </c>
    </row>
    <row r="578" spans="2:7">
      <c r="B578" s="25">
        <v>18107</v>
      </c>
      <c r="C578" s="25" t="s">
        <v>121</v>
      </c>
      <c r="D578" s="25" t="s">
        <v>44</v>
      </c>
      <c r="E578" s="25">
        <v>7</v>
      </c>
      <c r="G578" s="25">
        <v>396</v>
      </c>
    </row>
    <row r="579" spans="2:7">
      <c r="B579" s="25">
        <v>18106</v>
      </c>
      <c r="C579" s="25" t="s">
        <v>121</v>
      </c>
      <c r="D579" s="25" t="s">
        <v>44</v>
      </c>
      <c r="E579" s="25">
        <v>6</v>
      </c>
      <c r="G579" s="25">
        <v>381</v>
      </c>
    </row>
    <row r="580" spans="2:7">
      <c r="B580" s="25">
        <v>18105</v>
      </c>
      <c r="C580" s="25" t="s">
        <v>121</v>
      </c>
      <c r="D580" s="25" t="s">
        <v>44</v>
      </c>
      <c r="E580" s="25">
        <v>5</v>
      </c>
      <c r="G580" s="25">
        <v>369</v>
      </c>
    </row>
    <row r="581" spans="2:7">
      <c r="B581" s="25">
        <v>18104</v>
      </c>
      <c r="C581" s="25" t="s">
        <v>121</v>
      </c>
      <c r="D581" s="25" t="s">
        <v>44</v>
      </c>
      <c r="E581" s="25">
        <v>4</v>
      </c>
      <c r="G581" s="25">
        <v>361</v>
      </c>
    </row>
    <row r="582" spans="2:7">
      <c r="B582" s="25">
        <v>18103</v>
      </c>
      <c r="C582" s="25" t="s">
        <v>121</v>
      </c>
      <c r="D582" s="25" t="s">
        <v>44</v>
      </c>
      <c r="E582" s="25">
        <v>3</v>
      </c>
      <c r="G582" s="25">
        <v>355</v>
      </c>
    </row>
    <row r="583" spans="2:7">
      <c r="B583" s="25">
        <v>18102</v>
      </c>
      <c r="C583" s="25" t="s">
        <v>121</v>
      </c>
      <c r="D583" s="25" t="s">
        <v>44</v>
      </c>
      <c r="E583" s="25">
        <v>2</v>
      </c>
      <c r="G583" s="25">
        <v>349</v>
      </c>
    </row>
    <row r="584" spans="2:7">
      <c r="B584" s="25">
        <v>18101</v>
      </c>
      <c r="C584" s="25" t="s">
        <v>121</v>
      </c>
      <c r="D584" s="25" t="s">
        <v>44</v>
      </c>
      <c r="E584" s="25">
        <v>1</v>
      </c>
      <c r="G584" s="25">
        <v>343</v>
      </c>
    </row>
    <row r="585" spans="2:7">
      <c r="B585" s="25">
        <v>19710</v>
      </c>
      <c r="C585" s="25" t="s">
        <v>123</v>
      </c>
      <c r="D585" s="25" t="s">
        <v>92</v>
      </c>
      <c r="E585" s="25">
        <v>10</v>
      </c>
      <c r="G585" s="25">
        <v>466</v>
      </c>
    </row>
    <row r="586" spans="2:7">
      <c r="B586" s="25">
        <v>19709</v>
      </c>
      <c r="C586" s="25" t="s">
        <v>123</v>
      </c>
      <c r="D586" s="25" t="s">
        <v>92</v>
      </c>
      <c r="E586" s="25">
        <v>9</v>
      </c>
      <c r="G586" s="25">
        <v>450</v>
      </c>
    </row>
    <row r="587" spans="2:7">
      <c r="B587" s="25">
        <v>19708</v>
      </c>
      <c r="C587" s="25" t="s">
        <v>123</v>
      </c>
      <c r="D587" s="25" t="s">
        <v>92</v>
      </c>
      <c r="E587" s="25">
        <v>8</v>
      </c>
      <c r="G587" s="25">
        <v>430</v>
      </c>
    </row>
    <row r="588" spans="2:7">
      <c r="B588" s="25">
        <v>19707</v>
      </c>
      <c r="C588" s="25" t="s">
        <v>123</v>
      </c>
      <c r="D588" s="25" t="s">
        <v>92</v>
      </c>
      <c r="E588" s="25">
        <v>7</v>
      </c>
      <c r="G588" s="25">
        <v>415</v>
      </c>
    </row>
    <row r="589" spans="2:7">
      <c r="B589" s="25">
        <v>19706</v>
      </c>
      <c r="C589" s="25" t="s">
        <v>123</v>
      </c>
      <c r="D589" s="25" t="s">
        <v>92</v>
      </c>
      <c r="E589" s="25">
        <v>6</v>
      </c>
      <c r="G589" s="25">
        <v>403</v>
      </c>
    </row>
    <row r="590" spans="2:7">
      <c r="B590" s="25">
        <v>19705</v>
      </c>
      <c r="C590" s="25" t="s">
        <v>123</v>
      </c>
      <c r="D590" s="25" t="s">
        <v>92</v>
      </c>
      <c r="E590" s="25">
        <v>5</v>
      </c>
      <c r="G590" s="25">
        <v>393</v>
      </c>
    </row>
    <row r="591" spans="2:7">
      <c r="B591" s="25">
        <v>19704</v>
      </c>
      <c r="C591" s="25" t="s">
        <v>123</v>
      </c>
      <c r="D591" s="25" t="s">
        <v>92</v>
      </c>
      <c r="E591" s="25">
        <v>4</v>
      </c>
      <c r="G591" s="25">
        <v>380</v>
      </c>
    </row>
    <row r="592" spans="2:7">
      <c r="B592" s="25">
        <v>19703</v>
      </c>
      <c r="C592" s="25" t="s">
        <v>123</v>
      </c>
      <c r="D592" s="25" t="s">
        <v>92</v>
      </c>
      <c r="E592" s="25">
        <v>3</v>
      </c>
      <c r="G592" s="25">
        <v>368</v>
      </c>
    </row>
    <row r="593" spans="2:7">
      <c r="B593" s="25">
        <v>19702</v>
      </c>
      <c r="C593" s="25" t="s">
        <v>123</v>
      </c>
      <c r="D593" s="25" t="s">
        <v>92</v>
      </c>
      <c r="E593" s="25">
        <v>2</v>
      </c>
      <c r="G593" s="25">
        <v>358</v>
      </c>
    </row>
    <row r="594" spans="2:7">
      <c r="B594" s="25">
        <v>19701</v>
      </c>
      <c r="C594" s="25" t="s">
        <v>123</v>
      </c>
      <c r="D594" s="25" t="s">
        <v>92</v>
      </c>
      <c r="E594" s="25">
        <v>1</v>
      </c>
      <c r="G594" s="25">
        <v>350</v>
      </c>
    </row>
    <row r="595" spans="2:7">
      <c r="B595" s="25">
        <v>19812</v>
      </c>
      <c r="C595" s="25" t="s">
        <v>123</v>
      </c>
      <c r="D595" s="25" t="s">
        <v>96</v>
      </c>
      <c r="E595" s="25">
        <v>12</v>
      </c>
      <c r="G595" s="25">
        <v>418</v>
      </c>
    </row>
    <row r="596" spans="2:7">
      <c r="B596" s="25">
        <v>19811</v>
      </c>
      <c r="C596" s="25" t="s">
        <v>123</v>
      </c>
      <c r="D596" s="25" t="s">
        <v>96</v>
      </c>
      <c r="E596" s="25">
        <v>11</v>
      </c>
      <c r="G596" s="25">
        <v>411</v>
      </c>
    </row>
    <row r="597" spans="2:7">
      <c r="B597" s="25">
        <v>19810</v>
      </c>
      <c r="C597" s="25" t="s">
        <v>123</v>
      </c>
      <c r="D597" s="25" t="s">
        <v>96</v>
      </c>
      <c r="E597" s="25">
        <v>10</v>
      </c>
      <c r="G597" s="25">
        <v>402</v>
      </c>
    </row>
    <row r="598" spans="2:7">
      <c r="B598" s="25">
        <v>19809</v>
      </c>
      <c r="C598" s="25" t="s">
        <v>123</v>
      </c>
      <c r="D598" s="25" t="s">
        <v>96</v>
      </c>
      <c r="E598" s="25">
        <v>9</v>
      </c>
      <c r="G598" s="25">
        <v>390</v>
      </c>
    </row>
    <row r="599" spans="2:7">
      <c r="B599" s="25">
        <v>19808</v>
      </c>
      <c r="C599" s="25" t="s">
        <v>123</v>
      </c>
      <c r="D599" s="25" t="s">
        <v>96</v>
      </c>
      <c r="E599" s="25">
        <v>8</v>
      </c>
      <c r="G599" s="25">
        <v>380</v>
      </c>
    </row>
    <row r="600" spans="2:7">
      <c r="B600" s="25">
        <v>19807</v>
      </c>
      <c r="C600" s="25" t="s">
        <v>123</v>
      </c>
      <c r="D600" s="25" t="s">
        <v>96</v>
      </c>
      <c r="E600" s="25">
        <v>7</v>
      </c>
      <c r="G600" s="25">
        <v>364</v>
      </c>
    </row>
    <row r="601" spans="2:7">
      <c r="B601" s="25">
        <v>19806</v>
      </c>
      <c r="C601" s="25" t="s">
        <v>123</v>
      </c>
      <c r="D601" s="25" t="s">
        <v>96</v>
      </c>
      <c r="E601" s="25">
        <v>6</v>
      </c>
      <c r="G601" s="25">
        <v>351</v>
      </c>
    </row>
    <row r="602" spans="2:7">
      <c r="B602" s="25">
        <v>19805</v>
      </c>
      <c r="C602" s="25" t="s">
        <v>123</v>
      </c>
      <c r="D602" s="25" t="s">
        <v>96</v>
      </c>
      <c r="E602" s="25">
        <v>5</v>
      </c>
      <c r="G602" s="25">
        <v>345</v>
      </c>
    </row>
    <row r="603" spans="2:7">
      <c r="B603" s="25">
        <v>19804</v>
      </c>
      <c r="C603" s="25" t="s">
        <v>123</v>
      </c>
      <c r="D603" s="25" t="s">
        <v>96</v>
      </c>
      <c r="E603" s="25">
        <v>4</v>
      </c>
      <c r="G603" s="25">
        <v>336</v>
      </c>
    </row>
    <row r="604" spans="2:7">
      <c r="B604" s="25">
        <v>19803</v>
      </c>
      <c r="C604" s="25" t="s">
        <v>123</v>
      </c>
      <c r="D604" s="25" t="s">
        <v>96</v>
      </c>
      <c r="E604" s="25">
        <v>3</v>
      </c>
      <c r="G604" s="25">
        <v>333</v>
      </c>
    </row>
    <row r="605" spans="2:7">
      <c r="B605" s="25">
        <v>19802</v>
      </c>
      <c r="C605" s="25" t="s">
        <v>123</v>
      </c>
      <c r="D605" s="25" t="s">
        <v>96</v>
      </c>
      <c r="E605" s="25">
        <v>2</v>
      </c>
      <c r="G605" s="25">
        <v>330</v>
      </c>
    </row>
    <row r="606" spans="2:7">
      <c r="B606" s="25">
        <v>19801</v>
      </c>
      <c r="C606" s="25" t="s">
        <v>123</v>
      </c>
      <c r="D606" s="25" t="s">
        <v>96</v>
      </c>
      <c r="E606" s="25">
        <v>1</v>
      </c>
      <c r="G606" s="25">
        <v>328</v>
      </c>
    </row>
    <row r="607" spans="2:7">
      <c r="B607" s="25">
        <v>19111</v>
      </c>
      <c r="C607" s="25" t="s">
        <v>123</v>
      </c>
      <c r="D607" s="25"/>
      <c r="E607" s="25">
        <v>11</v>
      </c>
      <c r="G607" s="25">
        <v>367</v>
      </c>
    </row>
    <row r="608" spans="2:7">
      <c r="B608" s="25">
        <v>19110</v>
      </c>
      <c r="C608" s="25" t="s">
        <v>123</v>
      </c>
      <c r="D608" s="25"/>
      <c r="E608" s="25">
        <v>10</v>
      </c>
      <c r="G608" s="25">
        <v>354</v>
      </c>
    </row>
    <row r="609" spans="2:7">
      <c r="B609" s="25">
        <v>19109</v>
      </c>
      <c r="C609" s="25" t="s">
        <v>123</v>
      </c>
      <c r="D609" s="25"/>
      <c r="E609" s="25">
        <v>9</v>
      </c>
      <c r="G609" s="25">
        <v>343</v>
      </c>
    </row>
    <row r="610" spans="2:7">
      <c r="B610" s="25">
        <v>19108</v>
      </c>
      <c r="C610" s="25" t="s">
        <v>123</v>
      </c>
      <c r="D610" s="25"/>
      <c r="E610" s="25">
        <v>8</v>
      </c>
      <c r="G610" s="25">
        <v>339</v>
      </c>
    </row>
    <row r="611" spans="2:7">
      <c r="B611" s="25">
        <v>19107</v>
      </c>
      <c r="C611" s="25" t="s">
        <v>123</v>
      </c>
      <c r="D611" s="25"/>
      <c r="E611" s="25">
        <v>7</v>
      </c>
      <c r="G611" s="25">
        <v>335</v>
      </c>
    </row>
    <row r="612" spans="2:7">
      <c r="B612" s="25">
        <v>19106</v>
      </c>
      <c r="C612" s="25" t="s">
        <v>123</v>
      </c>
      <c r="D612" s="25"/>
      <c r="E612" s="25">
        <v>6</v>
      </c>
      <c r="G612" s="25">
        <v>332</v>
      </c>
    </row>
    <row r="613" spans="2:7">
      <c r="B613" s="25">
        <v>19105</v>
      </c>
      <c r="C613" s="25" t="s">
        <v>123</v>
      </c>
      <c r="D613" s="25"/>
      <c r="E613" s="25">
        <v>5</v>
      </c>
      <c r="G613" s="25">
        <v>330</v>
      </c>
    </row>
    <row r="614" spans="2:7">
      <c r="B614" s="25">
        <v>19104</v>
      </c>
      <c r="C614" s="25" t="s">
        <v>123</v>
      </c>
      <c r="D614" s="25"/>
      <c r="E614" s="25">
        <v>4</v>
      </c>
      <c r="G614" s="25">
        <v>329</v>
      </c>
    </row>
    <row r="615" spans="2:7">
      <c r="B615" s="25">
        <v>19103</v>
      </c>
      <c r="C615" s="25" t="s">
        <v>123</v>
      </c>
      <c r="D615" s="25"/>
      <c r="E615" s="25">
        <v>3</v>
      </c>
      <c r="G615" s="25">
        <v>328</v>
      </c>
    </row>
    <row r="616" spans="2:7">
      <c r="B616" s="25">
        <v>19102</v>
      </c>
      <c r="C616" s="25" t="s">
        <v>123</v>
      </c>
      <c r="D616" s="25"/>
      <c r="E616" s="25">
        <v>2</v>
      </c>
      <c r="G616" s="25">
        <v>327</v>
      </c>
    </row>
    <row r="617" spans="2:7">
      <c r="B617" s="25">
        <v>19101</v>
      </c>
      <c r="C617" s="25" t="s">
        <v>123</v>
      </c>
      <c r="D617" s="25"/>
      <c r="E617" s="25">
        <v>1</v>
      </c>
      <c r="G617" s="25">
        <v>326</v>
      </c>
    </row>
    <row r="618" spans="2:7">
      <c r="B618" s="25">
        <v>10219</v>
      </c>
      <c r="C618" s="25" t="s">
        <v>108</v>
      </c>
      <c r="D618" s="25" t="s">
        <v>45</v>
      </c>
      <c r="E618" s="25" t="s">
        <v>115</v>
      </c>
      <c r="G618" s="74">
        <v>972</v>
      </c>
    </row>
    <row r="619" spans="2:7">
      <c r="B619" s="25">
        <v>10218</v>
      </c>
      <c r="C619" s="25" t="s">
        <v>108</v>
      </c>
      <c r="D619" s="25" t="s">
        <v>45</v>
      </c>
      <c r="E619" s="25" t="s">
        <v>113</v>
      </c>
      <c r="G619" s="74">
        <v>925</v>
      </c>
    </row>
    <row r="620" spans="2:7">
      <c r="B620" s="25">
        <v>10217</v>
      </c>
      <c r="C620" s="25" t="s">
        <v>108</v>
      </c>
      <c r="D620" s="25" t="s">
        <v>45</v>
      </c>
      <c r="E620" s="25" t="s">
        <v>111</v>
      </c>
      <c r="G620" s="74">
        <v>890</v>
      </c>
    </row>
    <row r="621" spans="2:7">
      <c r="B621" s="25">
        <v>10206</v>
      </c>
      <c r="C621" s="25" t="s">
        <v>108</v>
      </c>
      <c r="D621" s="25" t="s">
        <v>45</v>
      </c>
      <c r="E621" s="25">
        <v>6</v>
      </c>
      <c r="G621" s="74">
        <v>830</v>
      </c>
    </row>
    <row r="622" spans="2:7">
      <c r="B622" s="25">
        <v>10205</v>
      </c>
      <c r="C622" s="25" t="s">
        <v>108</v>
      </c>
      <c r="D622" s="25" t="s">
        <v>45</v>
      </c>
      <c r="E622" s="25">
        <v>5</v>
      </c>
      <c r="G622" s="74">
        <v>798</v>
      </c>
    </row>
    <row r="623" spans="2:7">
      <c r="B623" s="25">
        <v>10204</v>
      </c>
      <c r="C623" s="25" t="s">
        <v>108</v>
      </c>
      <c r="D623" s="25" t="s">
        <v>45</v>
      </c>
      <c r="E623" s="25">
        <v>4</v>
      </c>
      <c r="G623" s="74">
        <v>760</v>
      </c>
    </row>
    <row r="624" spans="2:7">
      <c r="B624" s="25">
        <v>10203</v>
      </c>
      <c r="C624" s="25" t="s">
        <v>108</v>
      </c>
      <c r="D624" s="25" t="s">
        <v>45</v>
      </c>
      <c r="E624" s="25">
        <v>3</v>
      </c>
      <c r="G624" s="74">
        <v>724</v>
      </c>
    </row>
    <row r="625" spans="2:7">
      <c r="B625" s="25">
        <v>10202</v>
      </c>
      <c r="C625" s="25" t="s">
        <v>108</v>
      </c>
      <c r="D625" s="25" t="s">
        <v>45</v>
      </c>
      <c r="E625" s="25">
        <v>2</v>
      </c>
      <c r="G625" s="74">
        <v>688</v>
      </c>
    </row>
    <row r="626" spans="2:7">
      <c r="B626" s="25">
        <v>10201</v>
      </c>
      <c r="C626" s="25" t="s">
        <v>108</v>
      </c>
      <c r="D626" s="25" t="s">
        <v>45</v>
      </c>
      <c r="E626" s="25">
        <v>1</v>
      </c>
      <c r="G626" s="74">
        <v>650</v>
      </c>
    </row>
    <row r="627" spans="2:7">
      <c r="B627" s="25">
        <v>10909</v>
      </c>
      <c r="C627" s="25" t="s">
        <v>108</v>
      </c>
      <c r="D627" s="25" t="s">
        <v>99</v>
      </c>
      <c r="E627" s="25">
        <v>9</v>
      </c>
      <c r="G627" s="74">
        <v>798</v>
      </c>
    </row>
    <row r="628" spans="2:7">
      <c r="B628" s="25">
        <v>10908</v>
      </c>
      <c r="C628" s="25" t="s">
        <v>108</v>
      </c>
      <c r="D628" s="25" t="s">
        <v>99</v>
      </c>
      <c r="E628" s="25">
        <v>8</v>
      </c>
      <c r="G628" s="74">
        <v>760</v>
      </c>
    </row>
    <row r="629" spans="2:7">
      <c r="B629" s="25">
        <v>10907</v>
      </c>
      <c r="C629" s="25" t="s">
        <v>108</v>
      </c>
      <c r="D629" s="25" t="s">
        <v>99</v>
      </c>
      <c r="E629" s="25">
        <v>7</v>
      </c>
      <c r="G629" s="74">
        <v>722</v>
      </c>
    </row>
    <row r="630" spans="2:7">
      <c r="B630" s="25">
        <v>10906</v>
      </c>
      <c r="C630" s="25" t="s">
        <v>108</v>
      </c>
      <c r="D630" s="25" t="s">
        <v>99</v>
      </c>
      <c r="E630" s="25">
        <v>6</v>
      </c>
      <c r="G630" s="74">
        <v>685</v>
      </c>
    </row>
    <row r="631" spans="2:7">
      <c r="B631" s="25">
        <v>10905</v>
      </c>
      <c r="C631" s="25" t="s">
        <v>108</v>
      </c>
      <c r="D631" s="25" t="s">
        <v>99</v>
      </c>
      <c r="E631" s="25">
        <v>5</v>
      </c>
      <c r="G631" s="74">
        <v>645</v>
      </c>
    </row>
    <row r="632" spans="2:7">
      <c r="B632" s="25">
        <v>10904</v>
      </c>
      <c r="C632" s="25" t="s">
        <v>108</v>
      </c>
      <c r="D632" s="25" t="s">
        <v>99</v>
      </c>
      <c r="E632" s="25">
        <v>4</v>
      </c>
      <c r="G632" s="74">
        <v>605</v>
      </c>
    </row>
    <row r="633" spans="2:7">
      <c r="B633" s="25">
        <v>10903</v>
      </c>
      <c r="C633" s="25" t="s">
        <v>108</v>
      </c>
      <c r="D633" s="25" t="s">
        <v>99</v>
      </c>
      <c r="E633" s="25">
        <v>3</v>
      </c>
      <c r="G633" s="74">
        <v>565</v>
      </c>
    </row>
    <row r="634" spans="2:7">
      <c r="B634" s="25">
        <v>10902</v>
      </c>
      <c r="C634" s="25" t="s">
        <v>108</v>
      </c>
      <c r="D634" s="25" t="s">
        <v>99</v>
      </c>
      <c r="E634" s="25">
        <v>2</v>
      </c>
      <c r="G634" s="74">
        <v>530</v>
      </c>
    </row>
    <row r="635" spans="2:7">
      <c r="B635" s="25">
        <v>10901</v>
      </c>
      <c r="C635" s="25" t="s">
        <v>108</v>
      </c>
      <c r="D635" s="25" t="s">
        <v>99</v>
      </c>
      <c r="E635" s="25">
        <v>1</v>
      </c>
      <c r="G635" s="74">
        <v>494</v>
      </c>
    </row>
    <row r="636" spans="2:7">
      <c r="B636" s="25">
        <v>10111</v>
      </c>
      <c r="C636" s="25" t="s">
        <v>108</v>
      </c>
      <c r="D636" s="25"/>
      <c r="E636" s="25">
        <v>11</v>
      </c>
      <c r="G636" s="74">
        <v>669</v>
      </c>
    </row>
    <row r="637" spans="2:7">
      <c r="B637" s="25">
        <v>10110</v>
      </c>
      <c r="C637" s="25" t="s">
        <v>108</v>
      </c>
      <c r="D637" s="25"/>
      <c r="E637" s="25">
        <v>10</v>
      </c>
      <c r="G637" s="74">
        <v>640</v>
      </c>
    </row>
    <row r="638" spans="2:7">
      <c r="B638" s="25">
        <v>10109</v>
      </c>
      <c r="C638" s="25" t="s">
        <v>108</v>
      </c>
      <c r="D638" s="25"/>
      <c r="E638" s="25">
        <v>9</v>
      </c>
      <c r="G638" s="74">
        <v>595</v>
      </c>
    </row>
    <row r="639" spans="2:7">
      <c r="B639" s="25">
        <v>10108</v>
      </c>
      <c r="C639" s="25" t="s">
        <v>108</v>
      </c>
      <c r="D639" s="25"/>
      <c r="E639" s="25">
        <v>8</v>
      </c>
      <c r="G639" s="74">
        <v>565</v>
      </c>
    </row>
    <row r="640" spans="2:7">
      <c r="B640" s="25">
        <v>10107</v>
      </c>
      <c r="C640" s="25" t="s">
        <v>108</v>
      </c>
      <c r="D640" s="25"/>
      <c r="E640" s="25">
        <v>7</v>
      </c>
      <c r="G640" s="74">
        <v>537</v>
      </c>
    </row>
    <row r="641" spans="2:7">
      <c r="B641" s="25">
        <v>10106</v>
      </c>
      <c r="C641" s="25" t="s">
        <v>108</v>
      </c>
      <c r="D641" s="25"/>
      <c r="E641" s="25">
        <v>6</v>
      </c>
      <c r="G641" s="74">
        <v>510</v>
      </c>
    </row>
    <row r="642" spans="2:7">
      <c r="B642" s="25">
        <v>10105</v>
      </c>
      <c r="C642" s="25" t="s">
        <v>108</v>
      </c>
      <c r="D642" s="25"/>
      <c r="E642" s="25">
        <v>5</v>
      </c>
      <c r="G642" s="74">
        <v>473</v>
      </c>
    </row>
    <row r="643" spans="2:7">
      <c r="B643" s="25">
        <v>10104</v>
      </c>
      <c r="C643" s="25" t="s">
        <v>108</v>
      </c>
      <c r="D643" s="25"/>
      <c r="E643" s="25">
        <v>4</v>
      </c>
      <c r="G643" s="74">
        <v>445</v>
      </c>
    </row>
    <row r="644" spans="2:7">
      <c r="B644" s="25">
        <v>10103</v>
      </c>
      <c r="C644" s="25" t="s">
        <v>108</v>
      </c>
      <c r="D644" s="25"/>
      <c r="E644" s="25">
        <v>3</v>
      </c>
      <c r="G644" s="74">
        <v>423</v>
      </c>
    </row>
    <row r="645" spans="2:7">
      <c r="B645" s="25">
        <v>10102</v>
      </c>
      <c r="C645" s="25" t="s">
        <v>108</v>
      </c>
      <c r="D645" s="25"/>
      <c r="E645" s="25">
        <v>2</v>
      </c>
      <c r="G645" s="74">
        <v>405</v>
      </c>
    </row>
    <row r="646" spans="2:7">
      <c r="B646" s="25">
        <v>10101</v>
      </c>
      <c r="C646" s="25" t="s">
        <v>108</v>
      </c>
      <c r="D646" s="25"/>
      <c r="E646" s="25">
        <v>1</v>
      </c>
      <c r="G646" s="74">
        <v>388</v>
      </c>
    </row>
    <row r="647" spans="2:7">
      <c r="B647" s="25">
        <v>12511</v>
      </c>
      <c r="C647" s="25" t="s">
        <v>110</v>
      </c>
      <c r="D647" s="25" t="s">
        <v>49</v>
      </c>
      <c r="E647" s="25">
        <v>11</v>
      </c>
      <c r="G647" s="74">
        <v>587</v>
      </c>
    </row>
    <row r="648" spans="2:7">
      <c r="B648" s="25">
        <v>12510</v>
      </c>
      <c r="C648" s="25" t="s">
        <v>110</v>
      </c>
      <c r="D648" s="25" t="s">
        <v>49</v>
      </c>
      <c r="E648" s="25">
        <v>10</v>
      </c>
      <c r="G648" s="74">
        <v>569</v>
      </c>
    </row>
    <row r="649" spans="2:7">
      <c r="B649" s="25">
        <v>12509</v>
      </c>
      <c r="C649" s="25" t="s">
        <v>110</v>
      </c>
      <c r="D649" s="25" t="s">
        <v>49</v>
      </c>
      <c r="E649" s="25">
        <v>9</v>
      </c>
      <c r="G649" s="74">
        <v>551</v>
      </c>
    </row>
    <row r="650" spans="2:7">
      <c r="B650" s="25">
        <v>12508</v>
      </c>
      <c r="C650" s="25" t="s">
        <v>110</v>
      </c>
      <c r="D650" s="25" t="s">
        <v>49</v>
      </c>
      <c r="E650" s="25">
        <v>8</v>
      </c>
      <c r="G650" s="74">
        <v>534</v>
      </c>
    </row>
    <row r="651" spans="2:7">
      <c r="B651" s="25">
        <v>12507</v>
      </c>
      <c r="C651" s="25" t="s">
        <v>110</v>
      </c>
      <c r="D651" s="25" t="s">
        <v>49</v>
      </c>
      <c r="E651" s="25">
        <v>7</v>
      </c>
      <c r="G651" s="74">
        <v>508</v>
      </c>
    </row>
    <row r="652" spans="2:7">
      <c r="B652" s="25">
        <v>12506</v>
      </c>
      <c r="C652" s="25" t="s">
        <v>110</v>
      </c>
      <c r="D652" s="25" t="s">
        <v>49</v>
      </c>
      <c r="E652" s="25">
        <v>6</v>
      </c>
      <c r="G652" s="74">
        <v>484</v>
      </c>
    </row>
    <row r="653" spans="2:7">
      <c r="B653" s="25">
        <v>12505</v>
      </c>
      <c r="C653" s="25" t="s">
        <v>110</v>
      </c>
      <c r="D653" s="25" t="s">
        <v>49</v>
      </c>
      <c r="E653" s="25">
        <v>5</v>
      </c>
      <c r="G653" s="74">
        <v>465</v>
      </c>
    </row>
    <row r="654" spans="2:7">
      <c r="B654" s="25">
        <v>12504</v>
      </c>
      <c r="C654" s="25" t="s">
        <v>110</v>
      </c>
      <c r="D654" s="25" t="s">
        <v>49</v>
      </c>
      <c r="E654" s="25">
        <v>4</v>
      </c>
      <c r="G654" s="74">
        <v>441</v>
      </c>
    </row>
    <row r="655" spans="2:7">
      <c r="B655" s="25">
        <v>12503</v>
      </c>
      <c r="C655" s="25" t="s">
        <v>110</v>
      </c>
      <c r="D655" s="25" t="s">
        <v>49</v>
      </c>
      <c r="E655" s="25">
        <v>3</v>
      </c>
      <c r="G655" s="74">
        <v>419</v>
      </c>
    </row>
    <row r="656" spans="2:7">
      <c r="B656" s="25">
        <v>12502</v>
      </c>
      <c r="C656" s="25" t="s">
        <v>110</v>
      </c>
      <c r="D656" s="25" t="s">
        <v>49</v>
      </c>
      <c r="E656" s="25">
        <v>2</v>
      </c>
      <c r="G656" s="74">
        <v>404</v>
      </c>
    </row>
    <row r="657" spans="2:7">
      <c r="B657" s="25">
        <v>12501</v>
      </c>
      <c r="C657" s="25" t="s">
        <v>110</v>
      </c>
      <c r="D657" s="25" t="s">
        <v>49</v>
      </c>
      <c r="E657" s="25">
        <v>1</v>
      </c>
      <c r="G657" s="74">
        <v>392</v>
      </c>
    </row>
    <row r="658" spans="2:7">
      <c r="B658" s="25">
        <v>12613</v>
      </c>
      <c r="C658" s="25" t="s">
        <v>110</v>
      </c>
      <c r="D658" s="25" t="s">
        <v>90</v>
      </c>
      <c r="E658" s="25">
        <v>13</v>
      </c>
      <c r="G658" s="74">
        <v>534</v>
      </c>
    </row>
    <row r="659" spans="2:7">
      <c r="B659" s="25">
        <v>12612</v>
      </c>
      <c r="C659" s="25" t="s">
        <v>110</v>
      </c>
      <c r="D659" s="25" t="s">
        <v>90</v>
      </c>
      <c r="E659" s="25">
        <v>12</v>
      </c>
      <c r="G659" s="74">
        <v>504</v>
      </c>
    </row>
    <row r="660" spans="2:7">
      <c r="B660" s="25">
        <v>12611</v>
      </c>
      <c r="C660" s="25" t="s">
        <v>110</v>
      </c>
      <c r="D660" s="25" t="s">
        <v>90</v>
      </c>
      <c r="E660" s="25">
        <v>11</v>
      </c>
      <c r="G660" s="74">
        <v>480</v>
      </c>
    </row>
    <row r="661" spans="2:7">
      <c r="B661" s="25">
        <v>12610</v>
      </c>
      <c r="C661" s="25" t="s">
        <v>110</v>
      </c>
      <c r="D661" s="25" t="s">
        <v>90</v>
      </c>
      <c r="E661" s="25">
        <v>10</v>
      </c>
      <c r="G661" s="74">
        <v>461</v>
      </c>
    </row>
    <row r="662" spans="2:7">
      <c r="B662" s="25">
        <v>12609</v>
      </c>
      <c r="C662" s="25" t="s">
        <v>110</v>
      </c>
      <c r="D662" s="25" t="s">
        <v>90</v>
      </c>
      <c r="E662" s="25">
        <v>9</v>
      </c>
      <c r="G662" s="74">
        <v>452</v>
      </c>
    </row>
    <row r="663" spans="2:7">
      <c r="B663" s="25">
        <v>12608</v>
      </c>
      <c r="C663" s="25" t="s">
        <v>110</v>
      </c>
      <c r="D663" s="25" t="s">
        <v>90</v>
      </c>
      <c r="E663" s="25">
        <v>8</v>
      </c>
      <c r="G663" s="74">
        <v>436</v>
      </c>
    </row>
    <row r="664" spans="2:7">
      <c r="B664" s="25">
        <v>12607</v>
      </c>
      <c r="C664" s="25" t="s">
        <v>110</v>
      </c>
      <c r="D664" s="25" t="s">
        <v>90</v>
      </c>
      <c r="E664" s="25">
        <v>7</v>
      </c>
      <c r="G664" s="74">
        <v>416</v>
      </c>
    </row>
    <row r="665" spans="2:7">
      <c r="B665" s="25">
        <v>12606</v>
      </c>
      <c r="C665" s="25" t="s">
        <v>110</v>
      </c>
      <c r="D665" s="25" t="s">
        <v>90</v>
      </c>
      <c r="E665" s="25">
        <v>6</v>
      </c>
      <c r="G665" s="74">
        <v>401</v>
      </c>
    </row>
    <row r="666" spans="2:7">
      <c r="B666" s="25">
        <v>12605</v>
      </c>
      <c r="C666" s="25" t="s">
        <v>110</v>
      </c>
      <c r="D666" s="25" t="s">
        <v>90</v>
      </c>
      <c r="E666" s="25">
        <v>5</v>
      </c>
      <c r="G666" s="74">
        <v>390</v>
      </c>
    </row>
    <row r="667" spans="2:7">
      <c r="B667" s="25">
        <v>12604</v>
      </c>
      <c r="C667" s="25" t="s">
        <v>110</v>
      </c>
      <c r="D667" s="25" t="s">
        <v>90</v>
      </c>
      <c r="E667" s="25">
        <v>4</v>
      </c>
      <c r="G667" s="74">
        <v>379</v>
      </c>
    </row>
    <row r="668" spans="2:7">
      <c r="B668" s="25">
        <v>12603</v>
      </c>
      <c r="C668" s="25" t="s">
        <v>110</v>
      </c>
      <c r="D668" s="25" t="s">
        <v>90</v>
      </c>
      <c r="E668" s="25">
        <v>3</v>
      </c>
      <c r="G668" s="74">
        <v>369</v>
      </c>
    </row>
    <row r="669" spans="2:7">
      <c r="B669" s="25">
        <v>12602</v>
      </c>
      <c r="C669" s="25" t="s">
        <v>110</v>
      </c>
      <c r="D669" s="25" t="s">
        <v>90</v>
      </c>
      <c r="E669" s="25">
        <v>2</v>
      </c>
      <c r="G669" s="74">
        <v>362</v>
      </c>
    </row>
    <row r="670" spans="2:7">
      <c r="B670" s="25">
        <v>12601</v>
      </c>
      <c r="C670" s="25" t="s">
        <v>110</v>
      </c>
      <c r="D670" s="25" t="s">
        <v>90</v>
      </c>
      <c r="E670" s="25">
        <v>1</v>
      </c>
      <c r="G670" s="74">
        <v>356</v>
      </c>
    </row>
    <row r="671" spans="2:7">
      <c r="B671" s="25">
        <v>12113</v>
      </c>
      <c r="C671" s="25" t="s">
        <v>110</v>
      </c>
      <c r="D671" s="25" t="s">
        <v>44</v>
      </c>
      <c r="E671" s="25">
        <v>13</v>
      </c>
      <c r="G671" s="74">
        <v>503</v>
      </c>
    </row>
    <row r="672" spans="2:7">
      <c r="B672" s="25">
        <v>12112</v>
      </c>
      <c r="C672" s="25" t="s">
        <v>110</v>
      </c>
      <c r="D672" s="25" t="s">
        <v>44</v>
      </c>
      <c r="E672" s="25">
        <v>12</v>
      </c>
      <c r="G672" s="74">
        <v>477</v>
      </c>
    </row>
    <row r="673" spans="2:7">
      <c r="B673" s="25">
        <v>12111</v>
      </c>
      <c r="C673" s="25" t="s">
        <v>110</v>
      </c>
      <c r="D673" s="25" t="s">
        <v>44</v>
      </c>
      <c r="E673" s="25">
        <v>11</v>
      </c>
      <c r="G673" s="74">
        <v>457</v>
      </c>
    </row>
    <row r="674" spans="2:7">
      <c r="B674" s="25">
        <v>12110</v>
      </c>
      <c r="C674" s="25" t="s">
        <v>110</v>
      </c>
      <c r="D674" s="25" t="s">
        <v>44</v>
      </c>
      <c r="E674" s="25">
        <v>10</v>
      </c>
      <c r="G674" s="74">
        <v>441</v>
      </c>
    </row>
    <row r="675" spans="2:7">
      <c r="B675" s="25">
        <v>12109</v>
      </c>
      <c r="C675" s="25" t="s">
        <v>110</v>
      </c>
      <c r="D675" s="25" t="s">
        <v>44</v>
      </c>
      <c r="E675" s="25">
        <v>9</v>
      </c>
      <c r="G675" s="74">
        <v>431</v>
      </c>
    </row>
    <row r="676" spans="2:7">
      <c r="B676" s="25">
        <v>12108</v>
      </c>
      <c r="C676" s="25" t="s">
        <v>110</v>
      </c>
      <c r="D676" s="25" t="s">
        <v>44</v>
      </c>
      <c r="E676" s="25">
        <v>8</v>
      </c>
      <c r="G676" s="74">
        <v>415</v>
      </c>
    </row>
    <row r="677" spans="2:7">
      <c r="B677" s="25">
        <v>12107</v>
      </c>
      <c r="C677" s="25" t="s">
        <v>110</v>
      </c>
      <c r="D677" s="25" t="s">
        <v>44</v>
      </c>
      <c r="E677" s="25">
        <v>7</v>
      </c>
      <c r="G677" s="74">
        <v>396</v>
      </c>
    </row>
    <row r="678" spans="2:7">
      <c r="B678" s="25">
        <v>12106</v>
      </c>
      <c r="C678" s="25" t="s">
        <v>110</v>
      </c>
      <c r="D678" s="25" t="s">
        <v>44</v>
      </c>
      <c r="E678" s="25">
        <v>6</v>
      </c>
      <c r="G678" s="74">
        <v>381</v>
      </c>
    </row>
    <row r="679" spans="2:7">
      <c r="B679" s="25">
        <v>12105</v>
      </c>
      <c r="C679" s="25" t="s">
        <v>110</v>
      </c>
      <c r="D679" s="25" t="s">
        <v>44</v>
      </c>
      <c r="E679" s="25">
        <v>5</v>
      </c>
      <c r="G679" s="74">
        <v>369</v>
      </c>
    </row>
    <row r="680" spans="2:7">
      <c r="B680" s="25">
        <v>12104</v>
      </c>
      <c r="C680" s="25" t="s">
        <v>110</v>
      </c>
      <c r="D680" s="25" t="s">
        <v>44</v>
      </c>
      <c r="E680" s="25">
        <v>4</v>
      </c>
      <c r="G680" s="74">
        <v>361</v>
      </c>
    </row>
    <row r="681" spans="2:7">
      <c r="B681" s="25">
        <v>12103</v>
      </c>
      <c r="C681" s="25" t="s">
        <v>110</v>
      </c>
      <c r="D681" s="25" t="s">
        <v>44</v>
      </c>
      <c r="E681" s="25">
        <v>3</v>
      </c>
      <c r="G681" s="74">
        <v>355</v>
      </c>
    </row>
    <row r="682" spans="2:7">
      <c r="B682" s="25">
        <v>12102</v>
      </c>
      <c r="C682" s="25" t="s">
        <v>110</v>
      </c>
      <c r="D682" s="25" t="s">
        <v>44</v>
      </c>
      <c r="E682" s="25">
        <v>2</v>
      </c>
      <c r="G682" s="74">
        <v>349</v>
      </c>
    </row>
    <row r="683" spans="2:7">
      <c r="B683" s="25">
        <v>12101</v>
      </c>
      <c r="C683" s="25" t="s">
        <v>110</v>
      </c>
      <c r="D683" s="25" t="s">
        <v>44</v>
      </c>
      <c r="E683" s="25">
        <v>1</v>
      </c>
      <c r="G683" s="74">
        <v>343</v>
      </c>
    </row>
    <row r="684" spans="2:7">
      <c r="B684" s="25">
        <v>13710</v>
      </c>
      <c r="C684" s="25" t="s">
        <v>112</v>
      </c>
      <c r="D684" s="25" t="s">
        <v>92</v>
      </c>
      <c r="E684" s="25">
        <v>10</v>
      </c>
      <c r="G684" s="74">
        <v>468</v>
      </c>
    </row>
    <row r="685" spans="2:7">
      <c r="B685" s="25">
        <v>13709</v>
      </c>
      <c r="C685" s="25" t="s">
        <v>112</v>
      </c>
      <c r="D685" s="25" t="s">
        <v>92</v>
      </c>
      <c r="E685" s="25">
        <v>9</v>
      </c>
      <c r="G685" s="74">
        <v>450</v>
      </c>
    </row>
    <row r="686" spans="2:7">
      <c r="B686" s="25">
        <v>13708</v>
      </c>
      <c r="C686" s="25" t="s">
        <v>112</v>
      </c>
      <c r="D686" s="25" t="s">
        <v>92</v>
      </c>
      <c r="E686" s="25">
        <v>8</v>
      </c>
      <c r="G686" s="74">
        <v>430</v>
      </c>
    </row>
    <row r="687" spans="2:7">
      <c r="B687" s="25">
        <v>13707</v>
      </c>
      <c r="C687" s="25" t="s">
        <v>112</v>
      </c>
      <c r="D687" s="25" t="s">
        <v>92</v>
      </c>
      <c r="E687" s="25">
        <v>7</v>
      </c>
      <c r="G687" s="74">
        <v>415</v>
      </c>
    </row>
    <row r="688" spans="2:7">
      <c r="B688" s="25">
        <v>13706</v>
      </c>
      <c r="C688" s="25" t="s">
        <v>112</v>
      </c>
      <c r="D688" s="25" t="s">
        <v>92</v>
      </c>
      <c r="E688" s="25">
        <v>6</v>
      </c>
      <c r="G688" s="74">
        <v>403</v>
      </c>
    </row>
    <row r="689" spans="2:7">
      <c r="B689" s="25">
        <v>13705</v>
      </c>
      <c r="C689" s="25" t="s">
        <v>112</v>
      </c>
      <c r="D689" s="25" t="s">
        <v>92</v>
      </c>
      <c r="E689" s="25">
        <v>5</v>
      </c>
      <c r="G689" s="74">
        <v>393</v>
      </c>
    </row>
    <row r="690" spans="2:7">
      <c r="B690" s="25">
        <v>13704</v>
      </c>
      <c r="C690" s="25" t="s">
        <v>112</v>
      </c>
      <c r="D690" s="25" t="s">
        <v>92</v>
      </c>
      <c r="E690" s="25">
        <v>4</v>
      </c>
      <c r="G690" s="74">
        <v>380</v>
      </c>
    </row>
    <row r="691" spans="2:7">
      <c r="B691" s="25">
        <v>13703</v>
      </c>
      <c r="C691" s="25" t="s">
        <v>112</v>
      </c>
      <c r="D691" s="25" t="s">
        <v>92</v>
      </c>
      <c r="E691" s="25">
        <v>3</v>
      </c>
      <c r="G691" s="74">
        <v>368</v>
      </c>
    </row>
    <row r="692" spans="2:7">
      <c r="B692" s="25">
        <v>13702</v>
      </c>
      <c r="C692" s="25" t="s">
        <v>112</v>
      </c>
      <c r="D692" s="25" t="s">
        <v>92</v>
      </c>
      <c r="E692" s="25">
        <v>2</v>
      </c>
      <c r="G692" s="74">
        <v>358</v>
      </c>
    </row>
    <row r="693" spans="2:7">
      <c r="B693" s="25">
        <v>13701</v>
      </c>
      <c r="C693" s="25" t="s">
        <v>112</v>
      </c>
      <c r="D693" s="25" t="s">
        <v>92</v>
      </c>
      <c r="E693" s="25">
        <v>1</v>
      </c>
      <c r="G693" s="74">
        <v>350</v>
      </c>
    </row>
    <row r="694" spans="2:7">
      <c r="B694" s="25">
        <v>13812</v>
      </c>
      <c r="C694" s="25" t="s">
        <v>112</v>
      </c>
      <c r="D694" s="25" t="s">
        <v>96</v>
      </c>
      <c r="E694" s="25">
        <v>12</v>
      </c>
      <c r="G694" s="74">
        <v>418</v>
      </c>
    </row>
    <row r="695" spans="2:7">
      <c r="B695" s="25">
        <v>13811</v>
      </c>
      <c r="C695" s="25" t="s">
        <v>112</v>
      </c>
      <c r="D695" s="25" t="s">
        <v>96</v>
      </c>
      <c r="E695" s="25">
        <v>11</v>
      </c>
      <c r="G695" s="74">
        <v>411</v>
      </c>
    </row>
    <row r="696" spans="2:7">
      <c r="B696" s="25">
        <v>13810</v>
      </c>
      <c r="C696" s="25" t="s">
        <v>112</v>
      </c>
      <c r="D696" s="25" t="s">
        <v>96</v>
      </c>
      <c r="E696" s="25">
        <v>10</v>
      </c>
      <c r="G696" s="74">
        <v>402</v>
      </c>
    </row>
    <row r="697" spans="2:7">
      <c r="B697" s="25">
        <v>13809</v>
      </c>
      <c r="C697" s="25" t="s">
        <v>112</v>
      </c>
      <c r="D697" s="25" t="s">
        <v>96</v>
      </c>
      <c r="E697" s="25">
        <v>9</v>
      </c>
      <c r="G697" s="74">
        <v>390</v>
      </c>
    </row>
    <row r="698" spans="2:7">
      <c r="B698" s="25">
        <v>13808</v>
      </c>
      <c r="C698" s="25" t="s">
        <v>112</v>
      </c>
      <c r="D698" s="25" t="s">
        <v>96</v>
      </c>
      <c r="E698" s="25">
        <v>8</v>
      </c>
      <c r="G698" s="74">
        <v>380</v>
      </c>
    </row>
    <row r="699" spans="2:7">
      <c r="B699" s="25">
        <v>13807</v>
      </c>
      <c r="C699" s="25" t="s">
        <v>112</v>
      </c>
      <c r="D699" s="25" t="s">
        <v>96</v>
      </c>
      <c r="E699" s="25">
        <v>7</v>
      </c>
      <c r="G699" s="74">
        <v>364</v>
      </c>
    </row>
    <row r="700" spans="2:7">
      <c r="B700" s="25">
        <v>13806</v>
      </c>
      <c r="C700" s="25" t="s">
        <v>112</v>
      </c>
      <c r="D700" s="25" t="s">
        <v>96</v>
      </c>
      <c r="E700" s="25">
        <v>6</v>
      </c>
      <c r="G700" s="74">
        <v>351</v>
      </c>
    </row>
    <row r="701" spans="2:7">
      <c r="B701" s="25">
        <v>13805</v>
      </c>
      <c r="C701" s="25" t="s">
        <v>112</v>
      </c>
      <c r="D701" s="25" t="s">
        <v>96</v>
      </c>
      <c r="E701" s="25">
        <v>5</v>
      </c>
      <c r="G701" s="74">
        <v>345</v>
      </c>
    </row>
    <row r="702" spans="2:7">
      <c r="B702" s="25">
        <v>13804</v>
      </c>
      <c r="C702" s="25" t="s">
        <v>112</v>
      </c>
      <c r="D702" s="25" t="s">
        <v>96</v>
      </c>
      <c r="E702" s="25">
        <v>4</v>
      </c>
      <c r="G702" s="74">
        <v>336</v>
      </c>
    </row>
    <row r="703" spans="2:7">
      <c r="B703" s="25">
        <v>13803</v>
      </c>
      <c r="C703" s="25" t="s">
        <v>112</v>
      </c>
      <c r="D703" s="25" t="s">
        <v>96</v>
      </c>
      <c r="E703" s="25">
        <v>3</v>
      </c>
      <c r="G703" s="74">
        <v>333</v>
      </c>
    </row>
    <row r="704" spans="2:7">
      <c r="B704" s="25">
        <v>13802</v>
      </c>
      <c r="C704" s="25" t="s">
        <v>112</v>
      </c>
      <c r="D704" s="25" t="s">
        <v>96</v>
      </c>
      <c r="E704" s="25">
        <v>2</v>
      </c>
      <c r="G704" s="74">
        <v>330</v>
      </c>
    </row>
    <row r="705" spans="2:7">
      <c r="B705" s="25">
        <v>13801</v>
      </c>
      <c r="C705" s="25" t="s">
        <v>112</v>
      </c>
      <c r="D705" s="25" t="s">
        <v>96</v>
      </c>
      <c r="E705" s="25">
        <v>1</v>
      </c>
      <c r="G705" s="74">
        <v>328</v>
      </c>
    </row>
    <row r="706" spans="2:7">
      <c r="B706" s="25">
        <v>13111</v>
      </c>
      <c r="C706" s="25" t="s">
        <v>112</v>
      </c>
      <c r="D706" s="25"/>
      <c r="E706" s="25">
        <v>11</v>
      </c>
      <c r="G706" s="74">
        <v>367</v>
      </c>
    </row>
    <row r="707" spans="2:7">
      <c r="B707" s="25">
        <v>13110</v>
      </c>
      <c r="C707" s="25" t="s">
        <v>112</v>
      </c>
      <c r="D707" s="25"/>
      <c r="E707" s="25">
        <v>10</v>
      </c>
      <c r="G707" s="74">
        <v>354</v>
      </c>
    </row>
    <row r="708" spans="2:7">
      <c r="B708" s="25">
        <v>13109</v>
      </c>
      <c r="C708" s="25" t="s">
        <v>112</v>
      </c>
      <c r="D708" s="25"/>
      <c r="E708" s="25">
        <v>9</v>
      </c>
      <c r="G708" s="74">
        <v>343</v>
      </c>
    </row>
    <row r="709" spans="2:7">
      <c r="B709" s="25">
        <v>13108</v>
      </c>
      <c r="C709" s="25" t="s">
        <v>112</v>
      </c>
      <c r="D709" s="25"/>
      <c r="E709" s="25">
        <v>8</v>
      </c>
      <c r="G709" s="74">
        <v>339</v>
      </c>
    </row>
    <row r="710" spans="2:7">
      <c r="B710" s="25">
        <v>13107</v>
      </c>
      <c r="C710" s="25" t="s">
        <v>112</v>
      </c>
      <c r="D710" s="25"/>
      <c r="E710" s="25">
        <v>7</v>
      </c>
      <c r="G710" s="74">
        <v>335</v>
      </c>
    </row>
    <row r="711" spans="2:7">
      <c r="B711" s="25">
        <v>13106</v>
      </c>
      <c r="C711" s="25" t="s">
        <v>112</v>
      </c>
      <c r="D711" s="25"/>
      <c r="E711" s="25">
        <v>6</v>
      </c>
      <c r="G711" s="74">
        <v>332</v>
      </c>
    </row>
    <row r="712" spans="2:7">
      <c r="B712" s="25">
        <v>13105</v>
      </c>
      <c r="C712" s="25" t="s">
        <v>112</v>
      </c>
      <c r="D712" s="25"/>
      <c r="E712" s="25">
        <v>5</v>
      </c>
      <c r="G712" s="74">
        <v>330</v>
      </c>
    </row>
    <row r="713" spans="2:7">
      <c r="B713" s="25">
        <v>13104</v>
      </c>
      <c r="C713" s="25" t="s">
        <v>112</v>
      </c>
      <c r="D713" s="25"/>
      <c r="E713" s="25">
        <v>4</v>
      </c>
      <c r="G713" s="74">
        <v>329</v>
      </c>
    </row>
    <row r="714" spans="2:7">
      <c r="B714" s="25">
        <v>13103</v>
      </c>
      <c r="C714" s="25" t="s">
        <v>112</v>
      </c>
      <c r="D714" s="25"/>
      <c r="E714" s="25">
        <v>3</v>
      </c>
      <c r="G714" s="74">
        <v>328</v>
      </c>
    </row>
    <row r="715" spans="2:7">
      <c r="B715" s="25">
        <v>13102</v>
      </c>
      <c r="C715" s="25" t="s">
        <v>112</v>
      </c>
      <c r="D715" s="25"/>
      <c r="E715" s="25">
        <v>2</v>
      </c>
      <c r="G715" s="74">
        <v>327</v>
      </c>
    </row>
    <row r="716" spans="2:7">
      <c r="B716" s="25">
        <v>13101</v>
      </c>
      <c r="C716" s="25" t="s">
        <v>112</v>
      </c>
      <c r="D716" s="25"/>
      <c r="E716" s="25">
        <v>1</v>
      </c>
      <c r="G716" s="74">
        <v>326</v>
      </c>
    </row>
    <row r="717" spans="2:7">
      <c r="B717" s="25">
        <v>20219</v>
      </c>
      <c r="C717" s="25" t="s">
        <v>125</v>
      </c>
      <c r="D717" s="25" t="s">
        <v>45</v>
      </c>
      <c r="E717" s="25" t="s">
        <v>115</v>
      </c>
      <c r="G717" s="74">
        <v>972</v>
      </c>
    </row>
    <row r="718" spans="2:7">
      <c r="B718" s="25">
        <v>20218</v>
      </c>
      <c r="C718" s="25" t="s">
        <v>125</v>
      </c>
      <c r="D718" s="25" t="s">
        <v>45</v>
      </c>
      <c r="E718" s="25" t="s">
        <v>113</v>
      </c>
      <c r="G718" s="74">
        <v>925</v>
      </c>
    </row>
    <row r="719" spans="2:7">
      <c r="B719" s="25">
        <v>20217</v>
      </c>
      <c r="C719" s="25" t="s">
        <v>125</v>
      </c>
      <c r="D719" s="25" t="s">
        <v>45</v>
      </c>
      <c r="E719" s="25" t="s">
        <v>111</v>
      </c>
      <c r="G719" s="74">
        <v>890</v>
      </c>
    </row>
    <row r="720" spans="2:7">
      <c r="B720" s="25">
        <v>20206</v>
      </c>
      <c r="C720" s="25" t="s">
        <v>125</v>
      </c>
      <c r="D720" s="25" t="s">
        <v>45</v>
      </c>
      <c r="E720" s="25">
        <v>6</v>
      </c>
      <c r="G720" s="74">
        <v>830</v>
      </c>
    </row>
    <row r="721" spans="2:7">
      <c r="B721" s="25">
        <v>20205</v>
      </c>
      <c r="C721" s="25" t="s">
        <v>125</v>
      </c>
      <c r="D721" s="25" t="s">
        <v>45</v>
      </c>
      <c r="E721" s="25">
        <v>5</v>
      </c>
      <c r="G721" s="74">
        <v>798</v>
      </c>
    </row>
    <row r="722" spans="2:7">
      <c r="B722" s="25">
        <v>20204</v>
      </c>
      <c r="C722" s="25" t="s">
        <v>125</v>
      </c>
      <c r="D722" s="25" t="s">
        <v>45</v>
      </c>
      <c r="E722" s="25">
        <v>4</v>
      </c>
      <c r="G722" s="74">
        <v>760</v>
      </c>
    </row>
    <row r="723" spans="2:7">
      <c r="B723" s="25">
        <v>20203</v>
      </c>
      <c r="C723" s="25" t="s">
        <v>125</v>
      </c>
      <c r="D723" s="25" t="s">
        <v>45</v>
      </c>
      <c r="E723" s="25">
        <v>3</v>
      </c>
      <c r="G723" s="74">
        <v>724</v>
      </c>
    </row>
    <row r="724" spans="2:7">
      <c r="B724" s="25">
        <v>20202</v>
      </c>
      <c r="C724" s="25" t="s">
        <v>125</v>
      </c>
      <c r="D724" s="25" t="s">
        <v>45</v>
      </c>
      <c r="E724" s="25">
        <v>2</v>
      </c>
      <c r="G724" s="74">
        <v>688</v>
      </c>
    </row>
    <row r="725" spans="2:7">
      <c r="B725" s="25">
        <v>20201</v>
      </c>
      <c r="C725" s="25" t="s">
        <v>125</v>
      </c>
      <c r="D725" s="25" t="s">
        <v>45</v>
      </c>
      <c r="E725" s="25">
        <v>1</v>
      </c>
      <c r="G725" s="74">
        <v>650</v>
      </c>
    </row>
    <row r="726" spans="2:7">
      <c r="B726" s="25">
        <v>20909</v>
      </c>
      <c r="C726" s="25" t="s">
        <v>125</v>
      </c>
      <c r="D726" s="25" t="s">
        <v>99</v>
      </c>
      <c r="E726" s="25">
        <v>9</v>
      </c>
      <c r="G726" s="74">
        <v>798</v>
      </c>
    </row>
    <row r="727" spans="2:7">
      <c r="B727" s="25">
        <v>20908</v>
      </c>
      <c r="C727" s="25" t="s">
        <v>125</v>
      </c>
      <c r="D727" s="25" t="s">
        <v>99</v>
      </c>
      <c r="E727" s="25">
        <v>8</v>
      </c>
      <c r="G727" s="74">
        <v>760</v>
      </c>
    </row>
    <row r="728" spans="2:7">
      <c r="B728" s="25">
        <v>20907</v>
      </c>
      <c r="C728" s="25" t="s">
        <v>125</v>
      </c>
      <c r="D728" s="25" t="s">
        <v>99</v>
      </c>
      <c r="E728" s="25">
        <v>7</v>
      </c>
      <c r="G728" s="74">
        <v>722</v>
      </c>
    </row>
    <row r="729" spans="2:7">
      <c r="B729" s="25">
        <v>20906</v>
      </c>
      <c r="C729" s="25" t="s">
        <v>125</v>
      </c>
      <c r="D729" s="25" t="s">
        <v>99</v>
      </c>
      <c r="E729" s="25">
        <v>6</v>
      </c>
      <c r="G729" s="74">
        <v>685</v>
      </c>
    </row>
    <row r="730" spans="2:7">
      <c r="B730" s="25">
        <v>20905</v>
      </c>
      <c r="C730" s="25" t="s">
        <v>125</v>
      </c>
      <c r="D730" s="25" t="s">
        <v>99</v>
      </c>
      <c r="E730" s="25">
        <v>5</v>
      </c>
      <c r="G730" s="74">
        <v>645</v>
      </c>
    </row>
    <row r="731" spans="2:7">
      <c r="B731" s="25">
        <v>20904</v>
      </c>
      <c r="C731" s="25" t="s">
        <v>125</v>
      </c>
      <c r="D731" s="25" t="s">
        <v>99</v>
      </c>
      <c r="E731" s="25">
        <v>4</v>
      </c>
      <c r="G731" s="74">
        <v>607</v>
      </c>
    </row>
    <row r="732" spans="2:7">
      <c r="B732" s="25">
        <v>20903</v>
      </c>
      <c r="C732" s="25" t="s">
        <v>125</v>
      </c>
      <c r="D732" s="25" t="s">
        <v>99</v>
      </c>
      <c r="E732" s="25">
        <v>3</v>
      </c>
      <c r="G732" s="74">
        <v>569</v>
      </c>
    </row>
    <row r="733" spans="2:7">
      <c r="B733" s="25">
        <v>20902</v>
      </c>
      <c r="C733" s="25" t="s">
        <v>125</v>
      </c>
      <c r="D733" s="25" t="s">
        <v>99</v>
      </c>
      <c r="E733" s="25">
        <v>2</v>
      </c>
      <c r="G733" s="74">
        <v>534</v>
      </c>
    </row>
    <row r="734" spans="2:7">
      <c r="B734" s="25">
        <v>20901</v>
      </c>
      <c r="C734" s="25" t="s">
        <v>125</v>
      </c>
      <c r="D734" s="25" t="s">
        <v>99</v>
      </c>
      <c r="E734" s="25">
        <v>1</v>
      </c>
      <c r="G734" s="74">
        <v>494</v>
      </c>
    </row>
    <row r="735" spans="2:7">
      <c r="B735" s="25">
        <v>20111</v>
      </c>
      <c r="C735" s="25" t="s">
        <v>125</v>
      </c>
      <c r="D735" s="25"/>
      <c r="E735" s="25">
        <v>11</v>
      </c>
      <c r="G735" s="74">
        <v>669</v>
      </c>
    </row>
    <row r="736" spans="2:7">
      <c r="B736" s="25">
        <v>20110</v>
      </c>
      <c r="C736" s="25" t="s">
        <v>125</v>
      </c>
      <c r="D736" s="25"/>
      <c r="E736" s="25">
        <v>10</v>
      </c>
      <c r="G736" s="74">
        <v>640</v>
      </c>
    </row>
    <row r="737" spans="2:7">
      <c r="B737" s="25">
        <v>20109</v>
      </c>
      <c r="C737" s="25" t="s">
        <v>125</v>
      </c>
      <c r="D737" s="25"/>
      <c r="E737" s="25">
        <v>9</v>
      </c>
      <c r="G737" s="74">
        <v>595</v>
      </c>
    </row>
    <row r="738" spans="2:7">
      <c r="B738" s="25">
        <v>20108</v>
      </c>
      <c r="C738" s="25" t="s">
        <v>125</v>
      </c>
      <c r="D738" s="25"/>
      <c r="E738" s="25">
        <v>8</v>
      </c>
      <c r="G738" s="74">
        <v>565</v>
      </c>
    </row>
    <row r="739" spans="2:7">
      <c r="B739" s="25">
        <v>20107</v>
      </c>
      <c r="C739" s="25" t="s">
        <v>125</v>
      </c>
      <c r="D739" s="25"/>
      <c r="E739" s="25">
        <v>7</v>
      </c>
      <c r="G739" s="74">
        <v>537</v>
      </c>
    </row>
    <row r="740" spans="2:7">
      <c r="B740" s="25">
        <v>20106</v>
      </c>
      <c r="C740" s="25" t="s">
        <v>125</v>
      </c>
      <c r="D740" s="25"/>
      <c r="E740" s="25">
        <v>6</v>
      </c>
      <c r="G740" s="74">
        <v>510</v>
      </c>
    </row>
    <row r="741" spans="2:7">
      <c r="B741" s="25">
        <v>20105</v>
      </c>
      <c r="C741" s="25" t="s">
        <v>125</v>
      </c>
      <c r="D741" s="25"/>
      <c r="E741" s="25">
        <v>5</v>
      </c>
      <c r="G741" s="74">
        <v>473</v>
      </c>
    </row>
    <row r="742" spans="2:7">
      <c r="B742" s="25">
        <v>20104</v>
      </c>
      <c r="C742" s="25" t="s">
        <v>125</v>
      </c>
      <c r="D742" s="25"/>
      <c r="E742" s="25">
        <v>4</v>
      </c>
      <c r="G742" s="74">
        <v>445</v>
      </c>
    </row>
    <row r="743" spans="2:7">
      <c r="B743" s="25">
        <v>20103</v>
      </c>
      <c r="C743" s="25" t="s">
        <v>125</v>
      </c>
      <c r="D743" s="25"/>
      <c r="E743" s="25">
        <v>3</v>
      </c>
      <c r="G743" s="74">
        <v>423</v>
      </c>
    </row>
    <row r="744" spans="2:7">
      <c r="B744" s="25">
        <v>20102</v>
      </c>
      <c r="C744" s="25" t="s">
        <v>125</v>
      </c>
      <c r="D744" s="25"/>
      <c r="E744" s="25">
        <v>2</v>
      </c>
      <c r="G744" s="74">
        <v>405</v>
      </c>
    </row>
    <row r="745" spans="2:7">
      <c r="B745" s="25">
        <v>20101</v>
      </c>
      <c r="C745" s="25" t="s">
        <v>125</v>
      </c>
      <c r="D745" s="25"/>
      <c r="E745" s="25">
        <v>1</v>
      </c>
      <c r="G745" s="74">
        <v>388</v>
      </c>
    </row>
    <row r="746" spans="2:7">
      <c r="B746" s="25">
        <v>11119</v>
      </c>
      <c r="C746" s="25" t="s">
        <v>109</v>
      </c>
      <c r="D746" s="25"/>
      <c r="E746" s="25" t="s">
        <v>115</v>
      </c>
      <c r="G746" s="74">
        <v>972</v>
      </c>
    </row>
    <row r="747" spans="2:7">
      <c r="B747" s="25">
        <v>11118</v>
      </c>
      <c r="C747" s="25" t="s">
        <v>109</v>
      </c>
      <c r="D747" s="25"/>
      <c r="E747" s="25" t="s">
        <v>113</v>
      </c>
      <c r="G747" s="74">
        <v>925</v>
      </c>
    </row>
    <row r="748" spans="2:7">
      <c r="B748" s="25">
        <v>11117</v>
      </c>
      <c r="C748" s="25" t="s">
        <v>109</v>
      </c>
      <c r="D748" s="25"/>
      <c r="E748" s="25" t="s">
        <v>111</v>
      </c>
      <c r="G748" s="74">
        <v>890</v>
      </c>
    </row>
    <row r="749" spans="2:7">
      <c r="B749" s="25">
        <v>11106</v>
      </c>
      <c r="C749" s="25" t="s">
        <v>109</v>
      </c>
      <c r="D749" s="25"/>
      <c r="E749" s="25">
        <v>6</v>
      </c>
      <c r="G749" s="74">
        <v>830</v>
      </c>
    </row>
    <row r="750" spans="2:7">
      <c r="B750" s="25">
        <v>11105</v>
      </c>
      <c r="C750" s="25" t="s">
        <v>109</v>
      </c>
      <c r="D750" s="25"/>
      <c r="E750" s="25">
        <v>5</v>
      </c>
      <c r="G750" s="74">
        <v>792</v>
      </c>
    </row>
    <row r="751" spans="2:7">
      <c r="B751" s="25">
        <v>11104</v>
      </c>
      <c r="C751" s="25" t="s">
        <v>109</v>
      </c>
      <c r="D751" s="25"/>
      <c r="E751" s="25">
        <v>4</v>
      </c>
      <c r="G751" s="74">
        <v>743</v>
      </c>
    </row>
    <row r="752" spans="2:7">
      <c r="B752" s="25">
        <v>11103</v>
      </c>
      <c r="C752" s="25" t="s">
        <v>109</v>
      </c>
      <c r="D752" s="25"/>
      <c r="E752" s="25">
        <v>3</v>
      </c>
      <c r="G752" s="74">
        <v>720</v>
      </c>
    </row>
    <row r="753" spans="2:7">
      <c r="B753" s="25">
        <v>11102</v>
      </c>
      <c r="C753" s="25" t="s">
        <v>109</v>
      </c>
      <c r="D753" s="25"/>
      <c r="E753" s="25">
        <v>2</v>
      </c>
      <c r="G753" s="74">
        <v>697</v>
      </c>
    </row>
    <row r="754" spans="2:7">
      <c r="B754" s="25">
        <v>11101</v>
      </c>
      <c r="C754" s="25" t="s">
        <v>109</v>
      </c>
      <c r="D754" s="25"/>
      <c r="E754" s="25">
        <v>1</v>
      </c>
      <c r="G754" s="74">
        <v>667</v>
      </c>
    </row>
    <row r="755" spans="2:7">
      <c r="B755" s="25">
        <v>21530</v>
      </c>
      <c r="C755" s="25" t="s">
        <v>222</v>
      </c>
      <c r="D755" s="25" t="s">
        <v>49</v>
      </c>
      <c r="E755" s="25" t="s">
        <v>131</v>
      </c>
      <c r="G755" s="25">
        <v>1329</v>
      </c>
    </row>
    <row r="756" spans="2:7">
      <c r="B756" s="25">
        <v>21529</v>
      </c>
      <c r="C756" s="25" t="s">
        <v>222</v>
      </c>
      <c r="D756" s="25" t="s">
        <v>49</v>
      </c>
      <c r="E756" s="25" t="s">
        <v>130</v>
      </c>
      <c r="G756" s="25">
        <v>1279</v>
      </c>
    </row>
    <row r="757" spans="2:7">
      <c r="B757" s="25">
        <v>21528</v>
      </c>
      <c r="C757" s="25" t="s">
        <v>222</v>
      </c>
      <c r="D757" s="25" t="s">
        <v>49</v>
      </c>
      <c r="E757" s="25" t="s">
        <v>129</v>
      </c>
      <c r="G757" s="25">
        <v>1279</v>
      </c>
    </row>
    <row r="758" spans="2:7">
      <c r="B758" s="25">
        <v>21527</v>
      </c>
      <c r="C758" s="25" t="s">
        <v>222</v>
      </c>
      <c r="D758" s="25" t="s">
        <v>49</v>
      </c>
      <c r="E758" s="25" t="s">
        <v>128</v>
      </c>
      <c r="G758" s="25">
        <v>1226</v>
      </c>
    </row>
    <row r="759" spans="2:7">
      <c r="B759" s="25">
        <v>21526</v>
      </c>
      <c r="C759" s="25" t="s">
        <v>222</v>
      </c>
      <c r="D759" s="25" t="s">
        <v>49</v>
      </c>
      <c r="E759" s="25" t="s">
        <v>127</v>
      </c>
      <c r="G759" s="25">
        <v>1173</v>
      </c>
    </row>
    <row r="760" spans="2:7">
      <c r="B760" s="25">
        <v>21425</v>
      </c>
      <c r="C760" s="25" t="s">
        <v>222</v>
      </c>
      <c r="D760" s="25" t="s">
        <v>87</v>
      </c>
      <c r="E760" s="25" t="s">
        <v>126</v>
      </c>
      <c r="G760" s="25">
        <v>1173</v>
      </c>
    </row>
    <row r="761" spans="2:7">
      <c r="B761" s="25">
        <v>21424</v>
      </c>
      <c r="C761" s="25" t="s">
        <v>222</v>
      </c>
      <c r="D761" s="25" t="s">
        <v>87</v>
      </c>
      <c r="E761" s="25" t="s">
        <v>124</v>
      </c>
      <c r="G761" s="25">
        <v>1148</v>
      </c>
    </row>
    <row r="762" spans="2:7">
      <c r="B762" s="25">
        <v>21423</v>
      </c>
      <c r="C762" s="25" t="s">
        <v>222</v>
      </c>
      <c r="D762" s="25" t="s">
        <v>87</v>
      </c>
      <c r="E762" s="25" t="s">
        <v>122</v>
      </c>
      <c r="G762" s="25">
        <v>1124</v>
      </c>
    </row>
    <row r="763" spans="2:7">
      <c r="B763" s="25">
        <v>21422</v>
      </c>
      <c r="C763" s="25" t="s">
        <v>222</v>
      </c>
      <c r="D763" s="25" t="s">
        <v>87</v>
      </c>
      <c r="E763" s="25" t="s">
        <v>50</v>
      </c>
      <c r="G763" s="25">
        <v>1067</v>
      </c>
    </row>
    <row r="764" spans="2:7">
      <c r="B764" s="25">
        <v>21421</v>
      </c>
      <c r="C764" s="25" t="s">
        <v>222</v>
      </c>
      <c r="D764" s="25" t="s">
        <v>87</v>
      </c>
      <c r="E764" s="25" t="s">
        <v>119</v>
      </c>
      <c r="G764" s="25">
        <v>1013</v>
      </c>
    </row>
    <row r="765" spans="2:7">
      <c r="B765" s="25">
        <v>21420</v>
      </c>
      <c r="C765" s="25" t="s">
        <v>222</v>
      </c>
      <c r="D765" s="25" t="s">
        <v>87</v>
      </c>
      <c r="E765" s="25" t="s">
        <v>117</v>
      </c>
      <c r="G765" s="25">
        <v>972</v>
      </c>
    </row>
    <row r="766" spans="2:7">
      <c r="B766" s="25">
        <v>21401</v>
      </c>
      <c r="C766" s="25" t="s">
        <v>222</v>
      </c>
      <c r="D766" s="25" t="s">
        <v>87</v>
      </c>
      <c r="E766" s="25">
        <v>1</v>
      </c>
      <c r="G766" s="25">
        <v>830</v>
      </c>
    </row>
    <row r="767" spans="2:7">
      <c r="B767" s="25">
        <v>21322</v>
      </c>
      <c r="C767" s="25" t="s">
        <v>222</v>
      </c>
      <c r="D767" s="25" t="s">
        <v>84</v>
      </c>
      <c r="E767" s="25" t="s">
        <v>50</v>
      </c>
      <c r="G767" s="25">
        <v>1067</v>
      </c>
    </row>
    <row r="768" spans="2:7">
      <c r="B768" s="25">
        <v>21321</v>
      </c>
      <c r="C768" s="25" t="s">
        <v>222</v>
      </c>
      <c r="D768" s="25" t="s">
        <v>84</v>
      </c>
      <c r="E768" s="25" t="s">
        <v>119</v>
      </c>
      <c r="G768" s="25">
        <v>1013</v>
      </c>
    </row>
    <row r="769" spans="2:7">
      <c r="B769" s="25">
        <v>21320</v>
      </c>
      <c r="C769" s="25" t="s">
        <v>222</v>
      </c>
      <c r="D769" s="25" t="s">
        <v>84</v>
      </c>
      <c r="E769" s="25" t="s">
        <v>117</v>
      </c>
      <c r="G769" s="25">
        <v>972</v>
      </c>
    </row>
    <row r="770" spans="2:7">
      <c r="B770" s="25">
        <v>21319</v>
      </c>
      <c r="C770" s="25" t="s">
        <v>222</v>
      </c>
      <c r="D770" s="25" t="s">
        <v>84</v>
      </c>
      <c r="E770" s="25" t="s">
        <v>115</v>
      </c>
      <c r="G770" s="25">
        <v>972</v>
      </c>
    </row>
    <row r="771" spans="2:7">
      <c r="B771" s="25">
        <v>21318</v>
      </c>
      <c r="C771" s="25" t="s">
        <v>222</v>
      </c>
      <c r="D771" s="25" t="s">
        <v>84</v>
      </c>
      <c r="E771" s="25" t="s">
        <v>113</v>
      </c>
      <c r="G771" s="25">
        <v>925</v>
      </c>
    </row>
    <row r="772" spans="2:7">
      <c r="B772" s="25">
        <v>21317</v>
      </c>
      <c r="C772" s="25" t="s">
        <v>222</v>
      </c>
      <c r="D772" s="25" t="s">
        <v>84</v>
      </c>
      <c r="E772" s="25" t="s">
        <v>111</v>
      </c>
      <c r="G772" s="25">
        <v>890</v>
      </c>
    </row>
    <row r="773" spans="2:7">
      <c r="B773" s="25">
        <v>21305</v>
      </c>
      <c r="C773" s="25" t="s">
        <v>222</v>
      </c>
      <c r="D773" s="25" t="s">
        <v>84</v>
      </c>
      <c r="E773" s="25">
        <v>5</v>
      </c>
      <c r="G773" s="25">
        <v>830</v>
      </c>
    </row>
    <row r="774" spans="2:7">
      <c r="B774" s="25">
        <v>21304</v>
      </c>
      <c r="C774" s="25" t="s">
        <v>222</v>
      </c>
      <c r="D774" s="25" t="s">
        <v>84</v>
      </c>
      <c r="E774" s="25">
        <v>4</v>
      </c>
      <c r="G774" s="25">
        <v>785</v>
      </c>
    </row>
    <row r="775" spans="2:7">
      <c r="B775" s="25">
        <v>21303</v>
      </c>
      <c r="C775" s="25" t="s">
        <v>222</v>
      </c>
      <c r="D775" s="25" t="s">
        <v>84</v>
      </c>
      <c r="E775" s="25">
        <v>3</v>
      </c>
      <c r="G775" s="25">
        <v>743</v>
      </c>
    </row>
    <row r="776" spans="2:7">
      <c r="B776" s="25">
        <v>21302</v>
      </c>
      <c r="C776" s="25" t="s">
        <v>222</v>
      </c>
      <c r="D776" s="25" t="s">
        <v>84</v>
      </c>
      <c r="E776" s="25">
        <v>2</v>
      </c>
      <c r="G776" s="25">
        <v>705</v>
      </c>
    </row>
    <row r="777" spans="2:7">
      <c r="B777" s="25">
        <v>21301</v>
      </c>
      <c r="C777" s="25" t="s">
        <v>222</v>
      </c>
      <c r="D777" s="25" t="s">
        <v>84</v>
      </c>
      <c r="E777" s="25">
        <v>1</v>
      </c>
      <c r="G777" s="25">
        <v>667</v>
      </c>
    </row>
    <row r="778" spans="2:7">
      <c r="B778" s="25">
        <v>22219</v>
      </c>
      <c r="C778" s="25" t="s">
        <v>223</v>
      </c>
      <c r="D778" s="25" t="s">
        <v>45</v>
      </c>
      <c r="E778" s="25" t="s">
        <v>115</v>
      </c>
      <c r="G778" s="25">
        <v>972</v>
      </c>
    </row>
    <row r="779" spans="2:7">
      <c r="B779" s="25">
        <v>22218</v>
      </c>
      <c r="C779" s="25" t="s">
        <v>223</v>
      </c>
      <c r="D779" s="25" t="s">
        <v>45</v>
      </c>
      <c r="E779" s="25" t="s">
        <v>113</v>
      </c>
      <c r="G779" s="25">
        <v>925</v>
      </c>
    </row>
    <row r="780" spans="2:7">
      <c r="B780" s="25">
        <v>22217</v>
      </c>
      <c r="C780" s="25" t="s">
        <v>223</v>
      </c>
      <c r="D780" s="25" t="s">
        <v>45</v>
      </c>
      <c r="E780" s="25" t="s">
        <v>111</v>
      </c>
      <c r="G780" s="25">
        <v>890</v>
      </c>
    </row>
    <row r="781" spans="2:7">
      <c r="B781" s="25">
        <v>22206</v>
      </c>
      <c r="C781" s="25" t="s">
        <v>223</v>
      </c>
      <c r="D781" s="25" t="s">
        <v>45</v>
      </c>
      <c r="E781" s="25">
        <v>6</v>
      </c>
      <c r="G781" s="25">
        <v>830</v>
      </c>
    </row>
    <row r="782" spans="2:7">
      <c r="B782" s="25">
        <v>22205</v>
      </c>
      <c r="C782" s="25" t="s">
        <v>223</v>
      </c>
      <c r="D782" s="25" t="s">
        <v>45</v>
      </c>
      <c r="E782" s="25">
        <v>5</v>
      </c>
      <c r="G782" s="25">
        <v>803</v>
      </c>
    </row>
    <row r="783" spans="2:7">
      <c r="B783" s="25">
        <v>22204</v>
      </c>
      <c r="C783" s="25" t="s">
        <v>223</v>
      </c>
      <c r="D783" s="25" t="s">
        <v>45</v>
      </c>
      <c r="E783" s="25">
        <v>4</v>
      </c>
      <c r="G783" s="25">
        <v>758</v>
      </c>
    </row>
    <row r="784" spans="2:7">
      <c r="B784" s="25">
        <v>22203</v>
      </c>
      <c r="C784" s="25" t="s">
        <v>223</v>
      </c>
      <c r="D784" s="25" t="s">
        <v>45</v>
      </c>
      <c r="E784" s="25">
        <v>3</v>
      </c>
      <c r="G784" s="25">
        <v>716</v>
      </c>
    </row>
    <row r="785" spans="2:7">
      <c r="B785" s="25">
        <v>22202</v>
      </c>
      <c r="C785" s="25" t="s">
        <v>223</v>
      </c>
      <c r="D785" s="25" t="s">
        <v>45</v>
      </c>
      <c r="E785" s="25">
        <v>2</v>
      </c>
      <c r="G785" s="25">
        <v>678</v>
      </c>
    </row>
    <row r="786" spans="2:7">
      <c r="B786" s="25">
        <v>22201</v>
      </c>
      <c r="C786" s="25" t="s">
        <v>223</v>
      </c>
      <c r="D786" s="25" t="s">
        <v>45</v>
      </c>
      <c r="E786" s="25">
        <v>1</v>
      </c>
      <c r="G786" s="25">
        <v>643</v>
      </c>
    </row>
    <row r="787" spans="2:7">
      <c r="B787" s="25">
        <v>22110</v>
      </c>
      <c r="C787" s="25" t="s">
        <v>223</v>
      </c>
      <c r="D787" s="25" t="s">
        <v>44</v>
      </c>
      <c r="E787" s="25">
        <v>10</v>
      </c>
      <c r="G787" s="25">
        <v>830</v>
      </c>
    </row>
    <row r="788" spans="2:7">
      <c r="B788" s="25">
        <v>22109</v>
      </c>
      <c r="C788" s="25" t="s">
        <v>223</v>
      </c>
      <c r="D788" s="25" t="s">
        <v>44</v>
      </c>
      <c r="E788" s="25">
        <v>9</v>
      </c>
      <c r="G788" s="25">
        <v>803</v>
      </c>
    </row>
    <row r="789" spans="2:7">
      <c r="B789" s="25">
        <v>22108</v>
      </c>
      <c r="C789" s="25" t="s">
        <v>223</v>
      </c>
      <c r="D789" s="25" t="s">
        <v>44</v>
      </c>
      <c r="E789" s="25">
        <v>8</v>
      </c>
      <c r="G789" s="25">
        <v>769</v>
      </c>
    </row>
    <row r="790" spans="2:7">
      <c r="B790" s="25">
        <v>22107</v>
      </c>
      <c r="C790" s="25" t="s">
        <v>223</v>
      </c>
      <c r="D790" s="25" t="s">
        <v>44</v>
      </c>
      <c r="E790" s="25">
        <v>7</v>
      </c>
      <c r="G790" s="25">
        <v>739</v>
      </c>
    </row>
    <row r="791" spans="2:7">
      <c r="B791" s="25">
        <v>22106</v>
      </c>
      <c r="C791" s="25" t="s">
        <v>223</v>
      </c>
      <c r="D791" s="25" t="s">
        <v>44</v>
      </c>
      <c r="E791" s="25">
        <v>6</v>
      </c>
      <c r="G791" s="25">
        <v>693</v>
      </c>
    </row>
    <row r="792" spans="2:7">
      <c r="B792" s="25">
        <v>22105</v>
      </c>
      <c r="C792" s="25" t="s">
        <v>223</v>
      </c>
      <c r="D792" s="25" t="s">
        <v>44</v>
      </c>
      <c r="E792" s="25">
        <v>5</v>
      </c>
      <c r="G792" s="25">
        <v>643</v>
      </c>
    </row>
    <row r="793" spans="2:7">
      <c r="B793" s="25">
        <v>22104</v>
      </c>
      <c r="C793" s="25" t="s">
        <v>223</v>
      </c>
      <c r="D793" s="25" t="s">
        <v>44</v>
      </c>
      <c r="E793" s="25">
        <v>4</v>
      </c>
      <c r="G793" s="25">
        <v>600</v>
      </c>
    </row>
    <row r="794" spans="2:7">
      <c r="B794" s="25">
        <v>22103</v>
      </c>
      <c r="C794" s="25" t="s">
        <v>223</v>
      </c>
      <c r="D794" s="25" t="s">
        <v>44</v>
      </c>
      <c r="E794" s="25">
        <v>3</v>
      </c>
      <c r="G794" s="25">
        <v>560</v>
      </c>
    </row>
    <row r="795" spans="2:7">
      <c r="B795" s="25">
        <v>22102</v>
      </c>
      <c r="C795" s="25" t="s">
        <v>223</v>
      </c>
      <c r="D795" s="25" t="s">
        <v>44</v>
      </c>
      <c r="E795" s="25">
        <v>2</v>
      </c>
      <c r="G795" s="25">
        <v>510</v>
      </c>
    </row>
    <row r="796" spans="2:7">
      <c r="B796" s="25">
        <v>22101</v>
      </c>
      <c r="C796" s="25" t="s">
        <v>223</v>
      </c>
      <c r="D796" s="25" t="s">
        <v>44</v>
      </c>
      <c r="E796" s="25">
        <v>1</v>
      </c>
      <c r="G796" s="25">
        <v>474</v>
      </c>
    </row>
    <row r="797" spans="2:7">
      <c r="B797" s="25">
        <v>3301</v>
      </c>
      <c r="C797" s="25" t="s">
        <v>43</v>
      </c>
      <c r="D797" s="25" t="s">
        <v>84</v>
      </c>
      <c r="E797" s="25">
        <v>1</v>
      </c>
      <c r="F797" s="25">
        <v>454</v>
      </c>
      <c r="G797" s="25">
        <v>468</v>
      </c>
    </row>
    <row r="798" spans="2:7">
      <c r="B798" s="25">
        <v>3302</v>
      </c>
      <c r="C798" s="25" t="s">
        <v>43</v>
      </c>
      <c r="D798" s="25" t="s">
        <v>84</v>
      </c>
      <c r="E798" s="25">
        <v>2</v>
      </c>
      <c r="F798" s="25">
        <v>511</v>
      </c>
      <c r="G798" s="25">
        <v>525</v>
      </c>
    </row>
    <row r="799" spans="2:7">
      <c r="B799" s="25">
        <v>3303</v>
      </c>
      <c r="C799" s="25" t="s">
        <v>43</v>
      </c>
      <c r="D799" s="25" t="s">
        <v>84</v>
      </c>
      <c r="E799" s="25">
        <v>3</v>
      </c>
      <c r="F799" s="25">
        <v>564</v>
      </c>
      <c r="G799" s="25">
        <v>578</v>
      </c>
    </row>
    <row r="800" spans="2:7">
      <c r="B800" s="25">
        <v>3404</v>
      </c>
      <c r="C800" s="25" t="s">
        <v>43</v>
      </c>
      <c r="D800" s="25" t="s">
        <v>87</v>
      </c>
      <c r="E800" s="25">
        <v>4</v>
      </c>
      <c r="F800" s="25">
        <v>623</v>
      </c>
      <c r="G800" s="25">
        <v>637</v>
      </c>
    </row>
    <row r="801" spans="2:7">
      <c r="B801" s="25">
        <v>3405</v>
      </c>
      <c r="C801" s="25" t="s">
        <v>43</v>
      </c>
      <c r="D801" s="25" t="s">
        <v>87</v>
      </c>
      <c r="E801" s="25">
        <v>5</v>
      </c>
      <c r="F801" s="25">
        <v>673</v>
      </c>
      <c r="G801" s="25">
        <v>687</v>
      </c>
    </row>
    <row r="802" spans="2:7">
      <c r="B802" s="25">
        <v>3406</v>
      </c>
      <c r="C802" s="25" t="s">
        <v>43</v>
      </c>
      <c r="D802" s="25" t="s">
        <v>87</v>
      </c>
      <c r="E802" s="25">
        <v>6</v>
      </c>
      <c r="F802" s="25">
        <v>719</v>
      </c>
      <c r="G802" s="25">
        <v>733</v>
      </c>
    </row>
    <row r="803" spans="2:7">
      <c r="B803" s="25">
        <v>3407</v>
      </c>
      <c r="C803" s="25" t="s">
        <v>43</v>
      </c>
      <c r="D803" s="25" t="s">
        <v>87</v>
      </c>
      <c r="E803" s="25">
        <v>7</v>
      </c>
      <c r="F803" s="25">
        <v>749</v>
      </c>
      <c r="G803" s="25">
        <v>763</v>
      </c>
    </row>
    <row r="804" spans="2:7">
      <c r="B804" s="25">
        <v>3408</v>
      </c>
      <c r="C804" s="25" t="s">
        <v>43</v>
      </c>
      <c r="D804" s="25" t="s">
        <v>87</v>
      </c>
      <c r="E804" s="25">
        <v>8</v>
      </c>
      <c r="F804" s="25">
        <v>783</v>
      </c>
      <c r="G804" s="25">
        <v>797</v>
      </c>
    </row>
    <row r="805" spans="2:7">
      <c r="B805" s="25">
        <v>3409</v>
      </c>
      <c r="C805" s="25" t="s">
        <v>43</v>
      </c>
      <c r="D805" s="25" t="s">
        <v>87</v>
      </c>
      <c r="E805" s="25">
        <v>9</v>
      </c>
      <c r="F805" s="25">
        <v>821</v>
      </c>
      <c r="G805" s="25">
        <v>830</v>
      </c>
    </row>
    <row r="806" spans="2:7">
      <c r="B806" s="25">
        <v>22410</v>
      </c>
      <c r="C806" s="25" t="s">
        <v>223</v>
      </c>
      <c r="D806" s="25" t="s">
        <v>87</v>
      </c>
      <c r="E806" s="25">
        <v>10</v>
      </c>
      <c r="G806" s="25">
        <v>830</v>
      </c>
    </row>
    <row r="807" spans="2:7">
      <c r="B807" s="25">
        <v>22409</v>
      </c>
      <c r="C807" s="25" t="s">
        <v>223</v>
      </c>
      <c r="D807" s="25" t="s">
        <v>87</v>
      </c>
      <c r="E807" s="25">
        <v>9</v>
      </c>
      <c r="G807" s="25">
        <v>803</v>
      </c>
    </row>
    <row r="808" spans="2:7">
      <c r="B808" s="25">
        <v>22408</v>
      </c>
      <c r="C808" s="25" t="s">
        <v>223</v>
      </c>
      <c r="D808" s="25" t="s">
        <v>87</v>
      </c>
      <c r="E808" s="25">
        <v>8</v>
      </c>
      <c r="G808" s="25">
        <v>769</v>
      </c>
    </row>
    <row r="809" spans="2:7">
      <c r="B809" s="25">
        <v>22407</v>
      </c>
      <c r="C809" s="25" t="s">
        <v>223</v>
      </c>
      <c r="D809" s="25" t="s">
        <v>87</v>
      </c>
      <c r="E809" s="25">
        <v>7</v>
      </c>
      <c r="G809" s="25">
        <v>739</v>
      </c>
    </row>
    <row r="810" spans="2:7">
      <c r="B810" s="25">
        <v>22406</v>
      </c>
      <c r="C810" s="25" t="s">
        <v>223</v>
      </c>
      <c r="D810" s="25" t="s">
        <v>87</v>
      </c>
      <c r="E810" s="25">
        <v>6</v>
      </c>
      <c r="G810" s="25">
        <v>693</v>
      </c>
    </row>
    <row r="811" spans="2:7">
      <c r="B811" s="25">
        <v>22405</v>
      </c>
      <c r="C811" s="25" t="s">
        <v>223</v>
      </c>
      <c r="D811" s="25" t="s">
        <v>87</v>
      </c>
      <c r="E811" s="25">
        <v>5</v>
      </c>
      <c r="G811" s="25">
        <v>643</v>
      </c>
    </row>
    <row r="812" spans="2:7">
      <c r="B812" s="25">
        <v>22404</v>
      </c>
      <c r="C812" s="25" t="s">
        <v>223</v>
      </c>
      <c r="D812" s="25" t="s">
        <v>87</v>
      </c>
      <c r="E812" s="25">
        <v>4</v>
      </c>
      <c r="G812" s="25">
        <v>600</v>
      </c>
    </row>
    <row r="813" spans="2:7">
      <c r="B813" s="25">
        <v>22403</v>
      </c>
      <c r="C813" s="25" t="s">
        <v>223</v>
      </c>
      <c r="D813" s="25" t="s">
        <v>87</v>
      </c>
      <c r="E813" s="25">
        <v>3</v>
      </c>
      <c r="G813" s="25">
        <v>560</v>
      </c>
    </row>
    <row r="814" spans="2:7">
      <c r="B814" s="25">
        <v>22306</v>
      </c>
      <c r="C814" s="25" t="s">
        <v>223</v>
      </c>
      <c r="D814" s="25" t="s">
        <v>84</v>
      </c>
      <c r="E814" s="25">
        <v>6</v>
      </c>
      <c r="G814" s="25">
        <v>693</v>
      </c>
    </row>
    <row r="815" spans="2:7">
      <c r="B815" s="25">
        <v>22305</v>
      </c>
      <c r="C815" s="25" t="s">
        <v>223</v>
      </c>
      <c r="D815" s="25" t="s">
        <v>84</v>
      </c>
      <c r="E815" s="25">
        <v>5</v>
      </c>
      <c r="G815" s="25">
        <v>643</v>
      </c>
    </row>
    <row r="816" spans="2:7">
      <c r="B816" s="25">
        <v>22304</v>
      </c>
      <c r="C816" s="25" t="s">
        <v>223</v>
      </c>
      <c r="D816" s="25" t="s">
        <v>84</v>
      </c>
      <c r="E816" s="25">
        <v>4</v>
      </c>
      <c r="G816" s="25">
        <v>600</v>
      </c>
    </row>
    <row r="817" spans="2:7">
      <c r="B817" s="25">
        <v>22303</v>
      </c>
      <c r="C817" s="25" t="s">
        <v>223</v>
      </c>
      <c r="D817" s="25" t="s">
        <v>84</v>
      </c>
      <c r="E817" s="25">
        <v>3</v>
      </c>
      <c r="G817" s="25">
        <v>560</v>
      </c>
    </row>
    <row r="818" spans="2:7">
      <c r="B818" s="25">
        <v>22302</v>
      </c>
      <c r="C818" s="25" t="s">
        <v>223</v>
      </c>
      <c r="D818" s="25" t="s">
        <v>84</v>
      </c>
      <c r="E818" s="25">
        <v>2</v>
      </c>
      <c r="G818" s="25">
        <v>510</v>
      </c>
    </row>
    <row r="819" spans="2:7">
      <c r="B819" s="25">
        <v>22301</v>
      </c>
      <c r="C819" s="25" t="s">
        <v>223</v>
      </c>
      <c r="D819" s="25" t="s">
        <v>84</v>
      </c>
      <c r="E819" s="25">
        <v>1</v>
      </c>
      <c r="G819" s="25">
        <v>474</v>
      </c>
    </row>
    <row r="820" spans="2:7">
      <c r="B820" s="25">
        <v>23101</v>
      </c>
      <c r="C820" s="25" t="s">
        <v>239</v>
      </c>
      <c r="D820" s="25" t="s">
        <v>44</v>
      </c>
      <c r="E820" s="25">
        <v>1</v>
      </c>
      <c r="G820" s="25">
        <v>388</v>
      </c>
    </row>
    <row r="821" spans="2:7">
      <c r="B821" s="25">
        <v>23102</v>
      </c>
      <c r="C821" s="25" t="s">
        <v>239</v>
      </c>
      <c r="D821" s="25" t="s">
        <v>44</v>
      </c>
      <c r="E821" s="25">
        <v>2</v>
      </c>
      <c r="G821" s="25">
        <v>397</v>
      </c>
    </row>
    <row r="822" spans="2:7">
      <c r="B822" s="25">
        <v>23103</v>
      </c>
      <c r="C822" s="25" t="s">
        <v>239</v>
      </c>
      <c r="D822" s="25" t="s">
        <v>44</v>
      </c>
      <c r="E822" s="25">
        <v>3</v>
      </c>
      <c r="G822" s="25">
        <v>416</v>
      </c>
    </row>
    <row r="823" spans="2:7">
      <c r="B823" s="25">
        <v>23104</v>
      </c>
      <c r="C823" s="25" t="s">
        <v>239</v>
      </c>
      <c r="D823" s="25" t="s">
        <v>44</v>
      </c>
      <c r="E823" s="25">
        <v>4</v>
      </c>
      <c r="G823" s="25">
        <v>437</v>
      </c>
    </row>
    <row r="824" spans="2:7">
      <c r="B824" s="25">
        <v>23105</v>
      </c>
      <c r="C824" s="25" t="s">
        <v>239</v>
      </c>
      <c r="D824" s="25" t="s">
        <v>44</v>
      </c>
      <c r="E824" s="25">
        <v>5</v>
      </c>
      <c r="G824" s="25">
        <v>466</v>
      </c>
    </row>
    <row r="825" spans="2:7">
      <c r="B825" s="25">
        <v>23106</v>
      </c>
      <c r="C825" s="25" t="s">
        <v>239</v>
      </c>
      <c r="D825" s="25" t="s">
        <v>44</v>
      </c>
      <c r="E825" s="25">
        <v>6</v>
      </c>
      <c r="G825" s="25">
        <v>498</v>
      </c>
    </row>
    <row r="826" spans="2:7">
      <c r="B826" s="25">
        <v>23107</v>
      </c>
      <c r="C826" s="25" t="s">
        <v>239</v>
      </c>
      <c r="D826" s="25" t="s">
        <v>44</v>
      </c>
      <c r="E826" s="25">
        <v>7</v>
      </c>
      <c r="G826" s="25">
        <v>517</v>
      </c>
    </row>
    <row r="827" spans="2:7">
      <c r="B827" s="25">
        <v>23108</v>
      </c>
      <c r="C827" s="25" t="s">
        <v>239</v>
      </c>
      <c r="D827" s="25" t="s">
        <v>44</v>
      </c>
      <c r="E827" s="25">
        <v>8</v>
      </c>
      <c r="G827" s="25">
        <v>533</v>
      </c>
    </row>
    <row r="828" spans="2:7">
      <c r="B828" s="25">
        <v>23201</v>
      </c>
      <c r="C828" s="25" t="s">
        <v>239</v>
      </c>
      <c r="D828" s="25" t="s">
        <v>45</v>
      </c>
      <c r="E828" s="25">
        <v>1</v>
      </c>
      <c r="G828" s="25">
        <v>416</v>
      </c>
    </row>
    <row r="829" spans="2:7">
      <c r="B829" s="25">
        <v>23202</v>
      </c>
      <c r="C829" s="25" t="s">
        <v>239</v>
      </c>
      <c r="D829" s="25" t="s">
        <v>45</v>
      </c>
      <c r="E829" s="25">
        <v>2</v>
      </c>
      <c r="G829" s="25">
        <v>432</v>
      </c>
    </row>
    <row r="830" spans="2:7">
      <c r="B830" s="25">
        <v>23203</v>
      </c>
      <c r="C830" s="25" t="s">
        <v>239</v>
      </c>
      <c r="D830" s="25" t="s">
        <v>45</v>
      </c>
      <c r="E830" s="25">
        <v>3</v>
      </c>
      <c r="G830" s="25">
        <v>452</v>
      </c>
    </row>
    <row r="831" spans="2:7">
      <c r="B831" s="25">
        <v>23204</v>
      </c>
      <c r="C831" s="25" t="s">
        <v>239</v>
      </c>
      <c r="D831" s="25" t="s">
        <v>45</v>
      </c>
      <c r="E831" s="25">
        <v>4</v>
      </c>
      <c r="G831" s="25">
        <v>472</v>
      </c>
    </row>
    <row r="832" spans="2:7">
      <c r="B832" s="25">
        <v>23205</v>
      </c>
      <c r="C832" s="25" t="s">
        <v>239</v>
      </c>
      <c r="D832" s="25" t="s">
        <v>45</v>
      </c>
      <c r="E832" s="25">
        <v>5</v>
      </c>
      <c r="G832" s="25">
        <v>495</v>
      </c>
    </row>
    <row r="833" spans="2:7">
      <c r="B833" s="25">
        <v>23206</v>
      </c>
      <c r="C833" s="25" t="s">
        <v>239</v>
      </c>
      <c r="D833" s="25" t="s">
        <v>45</v>
      </c>
      <c r="E833" s="25">
        <v>6</v>
      </c>
      <c r="G833" s="25">
        <v>518</v>
      </c>
    </row>
    <row r="834" spans="2:7">
      <c r="B834" s="25">
        <v>23207</v>
      </c>
      <c r="C834" s="25" t="s">
        <v>239</v>
      </c>
      <c r="D834" s="25" t="s">
        <v>45</v>
      </c>
      <c r="E834" s="25">
        <v>7</v>
      </c>
      <c r="G834" s="25">
        <v>542</v>
      </c>
    </row>
    <row r="835" spans="2:7">
      <c r="B835" s="25">
        <v>23208</v>
      </c>
      <c r="C835" s="25" t="s">
        <v>239</v>
      </c>
      <c r="D835" s="25" t="s">
        <v>45</v>
      </c>
      <c r="E835" s="25">
        <v>8</v>
      </c>
      <c r="G835" s="25">
        <v>565</v>
      </c>
    </row>
    <row r="836" spans="2:7">
      <c r="B836" s="25">
        <v>23209</v>
      </c>
      <c r="C836" s="25" t="s">
        <v>239</v>
      </c>
      <c r="D836" s="25" t="s">
        <v>45</v>
      </c>
      <c r="E836" s="25">
        <v>9</v>
      </c>
      <c r="G836" s="25">
        <v>592</v>
      </c>
    </row>
    <row r="837" spans="2:7">
      <c r="B837" s="25">
        <v>23210</v>
      </c>
      <c r="C837" s="25" t="s">
        <v>239</v>
      </c>
      <c r="D837" s="25" t="s">
        <v>45</v>
      </c>
      <c r="E837" s="25">
        <v>10</v>
      </c>
      <c r="G837" s="25">
        <v>617</v>
      </c>
    </row>
    <row r="838" spans="2:7">
      <c r="B838" s="25">
        <v>23601</v>
      </c>
      <c r="C838" s="25" t="s">
        <v>239</v>
      </c>
      <c r="D838" s="25" t="s">
        <v>90</v>
      </c>
      <c r="E838" s="25">
        <v>1</v>
      </c>
      <c r="G838" s="25">
        <v>437</v>
      </c>
    </row>
    <row r="839" spans="2:7">
      <c r="B839" s="25">
        <v>23602</v>
      </c>
      <c r="C839" s="25" t="s">
        <v>239</v>
      </c>
      <c r="D839" s="25" t="s">
        <v>90</v>
      </c>
      <c r="E839" s="25">
        <v>2</v>
      </c>
      <c r="G839" s="25">
        <v>469</v>
      </c>
    </row>
    <row r="840" spans="2:7">
      <c r="B840" s="25">
        <v>23603</v>
      </c>
      <c r="C840" s="25" t="s">
        <v>239</v>
      </c>
      <c r="D840" s="25" t="s">
        <v>90</v>
      </c>
      <c r="E840" s="25">
        <v>3</v>
      </c>
      <c r="G840" s="25">
        <v>500</v>
      </c>
    </row>
    <row r="841" spans="2:7">
      <c r="B841" s="25">
        <v>23604</v>
      </c>
      <c r="C841" s="25" t="s">
        <v>239</v>
      </c>
      <c r="D841" s="25" t="s">
        <v>90</v>
      </c>
      <c r="E841" s="25">
        <v>4</v>
      </c>
      <c r="G841" s="25">
        <v>521</v>
      </c>
    </row>
    <row r="842" spans="2:7">
      <c r="B842" s="25">
        <v>23605</v>
      </c>
      <c r="C842" s="25" t="s">
        <v>239</v>
      </c>
      <c r="D842" s="25" t="s">
        <v>90</v>
      </c>
      <c r="E842" s="25">
        <v>5</v>
      </c>
      <c r="G842" s="25">
        <v>541</v>
      </c>
    </row>
    <row r="843" spans="2:7">
      <c r="B843" s="25">
        <v>23606</v>
      </c>
      <c r="C843" s="25" t="s">
        <v>239</v>
      </c>
      <c r="D843" s="25" t="s">
        <v>90</v>
      </c>
      <c r="E843" s="25">
        <v>6</v>
      </c>
      <c r="G843" s="25">
        <v>565</v>
      </c>
    </row>
    <row r="844" spans="2:7">
      <c r="B844" s="25">
        <v>23607</v>
      </c>
      <c r="C844" s="25" t="s">
        <v>239</v>
      </c>
      <c r="D844" s="25" t="s">
        <v>90</v>
      </c>
      <c r="E844" s="25">
        <v>7</v>
      </c>
      <c r="G844" s="25">
        <v>591</v>
      </c>
    </row>
    <row r="845" spans="2:7">
      <c r="B845" s="25">
        <v>25112</v>
      </c>
      <c r="C845" s="25" t="s">
        <v>241</v>
      </c>
      <c r="D845" s="25"/>
      <c r="E845" s="25">
        <v>12</v>
      </c>
      <c r="G845" s="25">
        <v>650</v>
      </c>
    </row>
    <row r="846" spans="2:7">
      <c r="B846" s="25">
        <v>25111</v>
      </c>
      <c r="C846" s="25" t="s">
        <v>241</v>
      </c>
      <c r="D846" s="25"/>
      <c r="E846" s="25">
        <v>11</v>
      </c>
      <c r="G846" s="25">
        <v>621</v>
      </c>
    </row>
    <row r="847" spans="2:7">
      <c r="B847" s="25">
        <v>25110</v>
      </c>
      <c r="C847" s="25" t="s">
        <v>241</v>
      </c>
      <c r="D847" s="25"/>
      <c r="E847" s="25">
        <v>10</v>
      </c>
      <c r="G847" s="25">
        <v>597</v>
      </c>
    </row>
    <row r="848" spans="2:7">
      <c r="B848" s="25">
        <v>25109</v>
      </c>
      <c r="C848" s="25" t="s">
        <v>241</v>
      </c>
      <c r="D848" s="25"/>
      <c r="E848" s="25">
        <v>9</v>
      </c>
      <c r="G848" s="25">
        <v>578</v>
      </c>
    </row>
    <row r="849" spans="2:7">
      <c r="B849" s="25">
        <v>25108</v>
      </c>
      <c r="C849" s="25" t="s">
        <v>241</v>
      </c>
      <c r="D849" s="25"/>
      <c r="E849" s="25">
        <v>8</v>
      </c>
      <c r="G849" s="25">
        <v>556</v>
      </c>
    </row>
    <row r="850" spans="2:7">
      <c r="B850" s="25">
        <v>25107</v>
      </c>
      <c r="C850" s="25" t="s">
        <v>241</v>
      </c>
      <c r="D850" s="25"/>
      <c r="E850" s="25">
        <v>7</v>
      </c>
      <c r="G850" s="25">
        <v>536</v>
      </c>
    </row>
    <row r="851" spans="2:7">
      <c r="B851" s="25">
        <v>25106</v>
      </c>
      <c r="C851" s="25" t="s">
        <v>241</v>
      </c>
      <c r="D851" s="25"/>
      <c r="E851" s="25">
        <v>6</v>
      </c>
      <c r="G851" s="25">
        <v>517</v>
      </c>
    </row>
    <row r="852" spans="2:7">
      <c r="B852" s="25">
        <v>25105</v>
      </c>
      <c r="C852" s="25" t="s">
        <v>241</v>
      </c>
      <c r="D852" s="25"/>
      <c r="E852" s="25">
        <v>5</v>
      </c>
      <c r="G852" s="25">
        <v>495</v>
      </c>
    </row>
    <row r="853" spans="2:7">
      <c r="B853" s="25">
        <v>25104</v>
      </c>
      <c r="C853" s="25" t="s">
        <v>241</v>
      </c>
      <c r="D853" s="25"/>
      <c r="E853" s="25">
        <v>4</v>
      </c>
      <c r="G853" s="25">
        <v>474</v>
      </c>
    </row>
    <row r="854" spans="2:7">
      <c r="B854" s="25">
        <v>25103</v>
      </c>
      <c r="C854" s="25" t="s">
        <v>241</v>
      </c>
      <c r="D854" s="25"/>
      <c r="E854" s="25">
        <v>3</v>
      </c>
      <c r="G854" s="25">
        <v>453</v>
      </c>
    </row>
    <row r="855" spans="2:7">
      <c r="B855" s="25">
        <v>25102</v>
      </c>
      <c r="C855" s="25" t="s">
        <v>241</v>
      </c>
      <c r="D855" s="25"/>
      <c r="E855" s="25">
        <v>2</v>
      </c>
      <c r="G855" s="25">
        <v>436</v>
      </c>
    </row>
    <row r="856" spans="2:7">
      <c r="B856" s="25">
        <v>25101</v>
      </c>
      <c r="C856" s="25" t="s">
        <v>241</v>
      </c>
      <c r="D856" s="25"/>
      <c r="E856" s="25">
        <v>1</v>
      </c>
      <c r="G856" s="25">
        <v>417</v>
      </c>
    </row>
    <row r="857" spans="2:7">
      <c r="B857" s="25">
        <v>24108</v>
      </c>
      <c r="C857" s="25" t="s">
        <v>242</v>
      </c>
      <c r="D857" s="25"/>
      <c r="E857" s="25">
        <v>8</v>
      </c>
      <c r="G857" s="25">
        <v>674</v>
      </c>
    </row>
    <row r="858" spans="2:7">
      <c r="B858" s="25">
        <v>24107</v>
      </c>
      <c r="C858" s="25" t="s">
        <v>242</v>
      </c>
      <c r="D858" s="25"/>
      <c r="E858" s="25">
        <v>7</v>
      </c>
      <c r="G858" s="25">
        <v>661</v>
      </c>
    </row>
    <row r="859" spans="2:7">
      <c r="B859" s="25">
        <v>24106</v>
      </c>
      <c r="C859" s="25" t="s">
        <v>242</v>
      </c>
      <c r="D859" s="25"/>
      <c r="E859" s="25">
        <v>6</v>
      </c>
      <c r="G859" s="25">
        <v>632</v>
      </c>
    </row>
    <row r="860" spans="2:7">
      <c r="B860" s="25">
        <v>24105</v>
      </c>
      <c r="C860" s="25" t="s">
        <v>242</v>
      </c>
      <c r="D860" s="25"/>
      <c r="E860" s="25">
        <v>5</v>
      </c>
      <c r="G860" s="25">
        <v>606</v>
      </c>
    </row>
    <row r="861" spans="2:7">
      <c r="B861" s="25">
        <v>24104</v>
      </c>
      <c r="C861" s="25" t="s">
        <v>242</v>
      </c>
      <c r="D861" s="25"/>
      <c r="E861" s="25">
        <v>4</v>
      </c>
      <c r="G861" s="25">
        <v>591</v>
      </c>
    </row>
    <row r="862" spans="2:7">
      <c r="B862" s="25">
        <v>24103</v>
      </c>
      <c r="C862" s="25" t="s">
        <v>242</v>
      </c>
      <c r="D862" s="25"/>
      <c r="E862" s="25">
        <v>3</v>
      </c>
      <c r="G862" s="25">
        <v>569</v>
      </c>
    </row>
    <row r="863" spans="2:7">
      <c r="B863" s="25">
        <v>24102</v>
      </c>
      <c r="C863" s="25" t="s">
        <v>242</v>
      </c>
      <c r="D863" s="25"/>
      <c r="E863" s="25">
        <v>2</v>
      </c>
      <c r="G863" s="25">
        <v>549</v>
      </c>
    </row>
    <row r="864" spans="2:7">
      <c r="B864" s="25">
        <v>24101</v>
      </c>
      <c r="C864" s="25" t="s">
        <v>242</v>
      </c>
      <c r="D864" s="25"/>
      <c r="E864" s="25">
        <v>1</v>
      </c>
      <c r="G864" s="25">
        <v>524</v>
      </c>
    </row>
    <row r="865" spans="2:7">
      <c r="B865" s="25">
        <v>27111</v>
      </c>
      <c r="C865" s="25" t="s">
        <v>243</v>
      </c>
      <c r="D865" s="25" t="s">
        <v>44</v>
      </c>
      <c r="E865" s="25">
        <v>11</v>
      </c>
      <c r="G865" s="25">
        <v>537</v>
      </c>
    </row>
    <row r="866" spans="2:7">
      <c r="B866" s="25">
        <v>27110</v>
      </c>
      <c r="C866" s="25" t="s">
        <v>243</v>
      </c>
      <c r="D866" s="25" t="s">
        <v>44</v>
      </c>
      <c r="E866" s="25">
        <v>10</v>
      </c>
      <c r="G866" s="25">
        <v>510</v>
      </c>
    </row>
    <row r="867" spans="2:7">
      <c r="B867" s="25">
        <v>27109</v>
      </c>
      <c r="C867" s="25" t="s">
        <v>243</v>
      </c>
      <c r="D867" s="25" t="s">
        <v>44</v>
      </c>
      <c r="E867" s="25">
        <v>9</v>
      </c>
      <c r="G867" s="25">
        <v>491</v>
      </c>
    </row>
    <row r="868" spans="2:7">
      <c r="B868" s="25">
        <v>27108</v>
      </c>
      <c r="C868" s="25" t="s">
        <v>243</v>
      </c>
      <c r="D868" s="25" t="s">
        <v>44</v>
      </c>
      <c r="E868" s="25">
        <v>8</v>
      </c>
      <c r="G868" s="25">
        <v>470</v>
      </c>
    </row>
    <row r="869" spans="2:7">
      <c r="B869" s="25">
        <v>27107</v>
      </c>
      <c r="C869" s="25" t="s">
        <v>243</v>
      </c>
      <c r="D869" s="25" t="s">
        <v>44</v>
      </c>
      <c r="E869" s="25">
        <v>7</v>
      </c>
      <c r="G869" s="25">
        <v>448</v>
      </c>
    </row>
    <row r="870" spans="2:7">
      <c r="B870" s="25">
        <v>27106</v>
      </c>
      <c r="C870" s="25" t="s">
        <v>243</v>
      </c>
      <c r="D870" s="25" t="s">
        <v>44</v>
      </c>
      <c r="E870" s="25">
        <v>6</v>
      </c>
      <c r="G870" s="25">
        <v>427</v>
      </c>
    </row>
    <row r="871" spans="2:7">
      <c r="B871" s="25">
        <v>27105</v>
      </c>
      <c r="C871" s="25" t="s">
        <v>243</v>
      </c>
      <c r="D871" s="25" t="s">
        <v>44</v>
      </c>
      <c r="E871" s="25">
        <v>5</v>
      </c>
      <c r="G871" s="25">
        <v>411</v>
      </c>
    </row>
    <row r="872" spans="2:7">
      <c r="B872" s="25">
        <v>27104</v>
      </c>
      <c r="C872" s="25" t="s">
        <v>243</v>
      </c>
      <c r="D872" s="25" t="s">
        <v>44</v>
      </c>
      <c r="E872" s="25">
        <v>4</v>
      </c>
      <c r="G872" s="25">
        <v>397</v>
      </c>
    </row>
    <row r="873" spans="2:7">
      <c r="B873" s="25">
        <v>27103</v>
      </c>
      <c r="C873" s="25" t="s">
        <v>243</v>
      </c>
      <c r="D873" s="25" t="s">
        <v>44</v>
      </c>
      <c r="E873" s="25">
        <v>3</v>
      </c>
      <c r="G873" s="25">
        <v>386</v>
      </c>
    </row>
    <row r="874" spans="2:7">
      <c r="B874" s="25">
        <v>27102</v>
      </c>
      <c r="C874" s="25" t="s">
        <v>243</v>
      </c>
      <c r="D874" s="25" t="s">
        <v>44</v>
      </c>
      <c r="E874" s="25">
        <v>2</v>
      </c>
      <c r="G874" s="25">
        <v>375</v>
      </c>
    </row>
    <row r="875" spans="2:7">
      <c r="B875" s="25">
        <v>27101</v>
      </c>
      <c r="C875" s="25" t="s">
        <v>243</v>
      </c>
      <c r="D875" s="25" t="s">
        <v>44</v>
      </c>
      <c r="E875" s="25">
        <v>1</v>
      </c>
      <c r="G875" s="25">
        <v>365</v>
      </c>
    </row>
    <row r="876" spans="2:7">
      <c r="B876" s="25">
        <v>27611</v>
      </c>
      <c r="C876" s="25" t="s">
        <v>243</v>
      </c>
      <c r="D876" s="25" t="s">
        <v>90</v>
      </c>
      <c r="E876" s="25">
        <v>11</v>
      </c>
      <c r="G876" s="25">
        <v>590</v>
      </c>
    </row>
    <row r="877" spans="2:7">
      <c r="B877" s="25">
        <v>27610</v>
      </c>
      <c r="C877" s="25" t="s">
        <v>243</v>
      </c>
      <c r="D877" s="25" t="s">
        <v>90</v>
      </c>
      <c r="E877" s="25">
        <v>10</v>
      </c>
      <c r="G877" s="25">
        <v>572</v>
      </c>
    </row>
    <row r="878" spans="2:7">
      <c r="B878" s="25">
        <v>27609</v>
      </c>
      <c r="C878" s="25" t="s">
        <v>243</v>
      </c>
      <c r="D878" s="25" t="s">
        <v>90</v>
      </c>
      <c r="E878" s="25">
        <v>9</v>
      </c>
      <c r="G878" s="25">
        <v>556</v>
      </c>
    </row>
    <row r="879" spans="2:7">
      <c r="B879" s="25">
        <v>27608</v>
      </c>
      <c r="C879" s="25" t="s">
        <v>243</v>
      </c>
      <c r="D879" s="25" t="s">
        <v>90</v>
      </c>
      <c r="E879" s="25">
        <v>8</v>
      </c>
      <c r="G879" s="25">
        <v>539</v>
      </c>
    </row>
    <row r="880" spans="2:7">
      <c r="B880" s="25">
        <v>27607</v>
      </c>
      <c r="C880" s="25" t="s">
        <v>243</v>
      </c>
      <c r="D880" s="25" t="s">
        <v>90</v>
      </c>
      <c r="E880" s="25">
        <v>7</v>
      </c>
      <c r="G880" s="25">
        <v>519</v>
      </c>
    </row>
    <row r="881" spans="2:7">
      <c r="B881" s="25">
        <v>27606</v>
      </c>
      <c r="C881" s="25" t="s">
        <v>243</v>
      </c>
      <c r="D881" s="25" t="s">
        <v>90</v>
      </c>
      <c r="E881" s="25">
        <v>6</v>
      </c>
      <c r="G881" s="25">
        <v>500</v>
      </c>
    </row>
    <row r="882" spans="2:7">
      <c r="B882" s="25">
        <v>27605</v>
      </c>
      <c r="C882" s="25" t="s">
        <v>243</v>
      </c>
      <c r="D882" s="25" t="s">
        <v>90</v>
      </c>
      <c r="E882" s="25">
        <v>5</v>
      </c>
      <c r="G882" s="25">
        <v>481</v>
      </c>
    </row>
    <row r="883" spans="2:7">
      <c r="B883" s="25">
        <v>27604</v>
      </c>
      <c r="C883" s="25" t="s">
        <v>243</v>
      </c>
      <c r="D883" s="25" t="s">
        <v>90</v>
      </c>
      <c r="E883" s="25">
        <v>4</v>
      </c>
      <c r="G883" s="25">
        <v>458</v>
      </c>
    </row>
    <row r="884" spans="2:7">
      <c r="B884" s="25">
        <v>27603</v>
      </c>
      <c r="C884" s="25" t="s">
        <v>243</v>
      </c>
      <c r="D884" s="25" t="s">
        <v>90</v>
      </c>
      <c r="E884" s="25">
        <v>3</v>
      </c>
      <c r="G884" s="25">
        <v>438</v>
      </c>
    </row>
    <row r="885" spans="2:7">
      <c r="B885" s="25">
        <v>27602</v>
      </c>
      <c r="C885" s="25" t="s">
        <v>243</v>
      </c>
      <c r="D885" s="25" t="s">
        <v>90</v>
      </c>
      <c r="E885" s="25">
        <v>2</v>
      </c>
      <c r="G885" s="25">
        <v>419</v>
      </c>
    </row>
    <row r="886" spans="2:7">
      <c r="B886" s="25">
        <v>27601</v>
      </c>
      <c r="C886" s="25" t="s">
        <v>243</v>
      </c>
      <c r="D886" s="25" t="s">
        <v>90</v>
      </c>
      <c r="E886" s="25">
        <v>1</v>
      </c>
      <c r="G886" s="25">
        <v>401</v>
      </c>
    </row>
    <row r="887" spans="2:7">
      <c r="B887" s="25">
        <v>26111</v>
      </c>
      <c r="C887" s="25" t="s">
        <v>244</v>
      </c>
      <c r="D887" s="25"/>
      <c r="E887" s="25">
        <v>11</v>
      </c>
      <c r="G887" s="25">
        <v>608</v>
      </c>
    </row>
    <row r="888" spans="2:7">
      <c r="B888" s="25">
        <v>26110</v>
      </c>
      <c r="C888" s="25" t="s">
        <v>244</v>
      </c>
      <c r="D888" s="25"/>
      <c r="E888" s="25">
        <v>10</v>
      </c>
      <c r="G888" s="25">
        <v>591</v>
      </c>
    </row>
    <row r="889" spans="2:7">
      <c r="B889" s="25">
        <v>26109</v>
      </c>
      <c r="C889" s="25" t="s">
        <v>244</v>
      </c>
      <c r="D889" s="25"/>
      <c r="E889" s="25">
        <v>9</v>
      </c>
      <c r="G889" s="25">
        <v>573</v>
      </c>
    </row>
    <row r="890" spans="2:7">
      <c r="B890" s="25">
        <v>26108</v>
      </c>
      <c r="C890" s="25" t="s">
        <v>244</v>
      </c>
      <c r="D890" s="25"/>
      <c r="E890" s="25">
        <v>8</v>
      </c>
      <c r="G890" s="25">
        <v>556</v>
      </c>
    </row>
    <row r="891" spans="2:7">
      <c r="B891" s="25">
        <v>26107</v>
      </c>
      <c r="C891" s="25" t="s">
        <v>244</v>
      </c>
      <c r="D891" s="25"/>
      <c r="E891" s="25">
        <v>7</v>
      </c>
      <c r="G891" s="25">
        <v>533</v>
      </c>
    </row>
    <row r="892" spans="2:7">
      <c r="B892" s="25">
        <v>26106</v>
      </c>
      <c r="C892" s="25" t="s">
        <v>244</v>
      </c>
      <c r="D892" s="25"/>
      <c r="E892" s="25">
        <v>6</v>
      </c>
      <c r="G892" s="25">
        <v>510</v>
      </c>
    </row>
    <row r="893" spans="2:7">
      <c r="B893" s="25">
        <v>26105</v>
      </c>
      <c r="C893" s="25" t="s">
        <v>244</v>
      </c>
      <c r="D893" s="25"/>
      <c r="E893" s="25">
        <v>5</v>
      </c>
      <c r="G893" s="25">
        <v>487</v>
      </c>
    </row>
    <row r="894" spans="2:7">
      <c r="B894" s="25">
        <v>26104</v>
      </c>
      <c r="C894" s="25" t="s">
        <v>244</v>
      </c>
      <c r="D894" s="25"/>
      <c r="E894" s="25">
        <v>4</v>
      </c>
      <c r="G894" s="25">
        <v>464</v>
      </c>
    </row>
    <row r="895" spans="2:7">
      <c r="B895" s="25">
        <v>26103</v>
      </c>
      <c r="C895" s="25" t="s">
        <v>244</v>
      </c>
      <c r="D895" s="25"/>
      <c r="E895" s="25">
        <v>3</v>
      </c>
      <c r="G895" s="25">
        <v>444</v>
      </c>
    </row>
    <row r="896" spans="2:7">
      <c r="B896" s="25">
        <v>26102</v>
      </c>
      <c r="C896" s="25" t="s">
        <v>244</v>
      </c>
      <c r="D896" s="25"/>
      <c r="E896" s="25">
        <v>2</v>
      </c>
      <c r="G896" s="25">
        <v>424</v>
      </c>
    </row>
    <row r="897" spans="2:7">
      <c r="B897" s="25">
        <v>26101</v>
      </c>
      <c r="C897" s="25" t="s">
        <v>244</v>
      </c>
      <c r="D897" s="25"/>
      <c r="E897" s="25">
        <v>1</v>
      </c>
      <c r="G897" s="25">
        <v>407</v>
      </c>
    </row>
    <row r="898" spans="2:7">
      <c r="B898" s="25"/>
      <c r="C898" s="25"/>
      <c r="D898" s="25"/>
      <c r="E898" s="25"/>
      <c r="G898" s="25"/>
    </row>
  </sheetData>
  <sheetProtection selectLockedCells="1" selectUnlockedCells="1"/>
  <mergeCells count="46">
    <mergeCell ref="I260:J260"/>
    <mergeCell ref="N267:O267"/>
    <mergeCell ref="K268:L268"/>
    <mergeCell ref="C107:D107"/>
    <mergeCell ref="I255:J255"/>
    <mergeCell ref="I256:J256"/>
    <mergeCell ref="I257:J257"/>
    <mergeCell ref="I258:J258"/>
    <mergeCell ref="I259:J259"/>
    <mergeCell ref="I105:J105"/>
    <mergeCell ref="K105:L105"/>
    <mergeCell ref="G50:I50"/>
    <mergeCell ref="G51:I51"/>
    <mergeCell ref="G52:I52"/>
    <mergeCell ref="H57:I57"/>
    <mergeCell ref="J97:K97"/>
    <mergeCell ref="J98:K98"/>
    <mergeCell ref="J99:K99"/>
    <mergeCell ref="J100:K100"/>
    <mergeCell ref="J101:K101"/>
    <mergeCell ref="I102:J102"/>
    <mergeCell ref="K102:L102"/>
    <mergeCell ref="G49:I49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37:I37"/>
    <mergeCell ref="I18:J1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</mergeCells>
  <dataValidations count="13">
    <dataValidation operator="equal" allowBlank="1" showErrorMessage="1" sqref="K5 I18 L18 H93 A247:B271">
      <formula1>0</formula1>
      <formula2>0</formula2>
    </dataValidation>
    <dataValidation type="list" operator="equal" showErrorMessage="1" sqref="C6">
      <formula1>Sexe</formula1>
    </dataValidation>
    <dataValidation type="whole" operator="lessThanOrEqual" showErrorMessage="1" sqref="M63:M87 C28:C52">
      <formula1>2019</formula1>
      <formula2>0</formula2>
    </dataValidation>
    <dataValidation type="decimal" operator="greaterThanOrEqual" showErrorMessage="1" error="Saisir un nombre" sqref="E28:E52">
      <formula1>0</formula1>
      <formula2>0</formula2>
    </dataValidation>
    <dataValidation type="decimal" operator="greaterThanOrEqual" allowBlank="1" showErrorMessage="1" error="Saisir un nombre" sqref="G28:G52">
      <formula1>0</formula1>
      <formula2>0</formula2>
    </dataValidation>
    <dataValidation type="list" operator="equal" allowBlank="1" showInputMessage="1" showErrorMessage="1" errorTitle="Erreur" error="Vous n'avez pas tapé à l'identique une classe figurant dans la liste déroulante !" promptTitle="Aide" prompt="Choisissez une classe dans la liste déroulante ou tapez-en une exactement telle qu'ellel est dans la liste" sqref="G91 G63:G87">
      <formula1>Classe1</formula1>
    </dataValidation>
    <dataValidation type="list" operator="equal" allowBlank="1" showErrorMessage="1" error="Choisissez un âge entier entre 62 et 67" sqref="F89">
      <formula1>Départ</formula1>
    </dataValidation>
    <dataValidation type="list" operator="equal" allowBlank="1" showInputMessage="1" showErrorMessage="1" errorTitle="Erreur" error="Vous n'avez pas tapé un échelon exactement tel qu'il figure dans la liste déroulante !" promptTitle="Aide" prompt="Par exemple tapez 2 pour 2ème échelon _x000a_ou A3 pour échelle lettre A 3ème chevron" sqref="I63:I87 I91">
      <formula1>Echelons</formula1>
    </dataValidation>
    <dataValidation type="list" allowBlank="1" showInputMessage="1" showErrorMessage="1" sqref="F14:K15 F9:K10">
      <formula1>Bool</formula1>
    </dataValidation>
    <dataValidation type="list" allowBlank="1" showInputMessage="1" showErrorMessage="1" sqref="K63:K87 G5">
      <formula1>Jour</formula1>
    </dataValidation>
    <dataValidation type="list" allowBlank="1" showInputMessage="1" showErrorMessage="1" sqref="L63:L87 I5">
      <formula1>Mois</formula1>
    </dataValidation>
    <dataValidation type="date" operator="greaterThanOrEqual" allowBlank="1" showInputMessage="1" showErrorMessage="1" sqref="H57:I57">
      <formula1>365</formula1>
    </dataValidation>
    <dataValidation type="list" operator="equal" showInputMessage="1" showErrorMessage="1" errorTitle="Erreur" error="Vous n'avez pas tapé à l'identique un corps figurant dans la liste !" promptTitle="Aide" prompt="Choisissez un corps dans la liste déroulante ou tapez-en un exactement tel qu'il est dans la liste" sqref="E63:E87 E91">
      <formula1>Corps3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</vt:i4>
      </vt:variant>
    </vt:vector>
  </HeadingPairs>
  <TitlesOfParts>
    <vt:vector size="14" baseType="lpstr">
      <vt:lpstr>Mode-emploi</vt:lpstr>
      <vt:lpstr>Saisie</vt:lpstr>
      <vt:lpstr>Bool</vt:lpstr>
      <vt:lpstr>Classe</vt:lpstr>
      <vt:lpstr>Classe1</vt:lpstr>
      <vt:lpstr>Corps</vt:lpstr>
      <vt:lpstr>Corps1</vt:lpstr>
      <vt:lpstr>Corps2</vt:lpstr>
      <vt:lpstr>Corps3</vt:lpstr>
      <vt:lpstr>Départ</vt:lpstr>
      <vt:lpstr>Echelons</vt:lpstr>
      <vt:lpstr>Jour</vt:lpstr>
      <vt:lpstr>Mois</vt:lpstr>
      <vt:lpstr>Sexe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herve.lelourec herve.lelourec</dc:creator>
  <cp:lastModifiedBy>herve.lelourec herve.lelourec</cp:lastModifiedBy>
  <dcterms:created xsi:type="dcterms:W3CDTF">2019-11-28T00:21:52Z</dcterms:created>
  <dcterms:modified xsi:type="dcterms:W3CDTF">2019-12-11T14:48:51Z</dcterms:modified>
</cp:coreProperties>
</file>