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ervechristofol/Documents/SNESUP FSU/Instances représentatives/CNESER/201101 Budgétaire/"/>
    </mc:Choice>
  </mc:AlternateContent>
  <xr:revisionPtr revIDLastSave="0" documentId="13_ncr:1_{2C7EB9A3-6F69-C144-9C48-3251B40058F5}" xr6:coauthVersionLast="46" xr6:coauthVersionMax="46" xr10:uidLastSave="{00000000-0000-0000-0000-000000000000}"/>
  <bookViews>
    <workbookView xWindow="-50680" yWindow="460" windowWidth="32700" windowHeight="20580" tabRatio="515" activeTab="2" xr2:uid="{00000000-000D-0000-FFFF-FFFF00000000}"/>
  </bookViews>
  <sheets>
    <sheet name="Feuil1" sheetId="1" state="hidden" r:id="rId1"/>
    <sheet name="Feuil1 (2)" sheetId="4" state="hidden" r:id="rId2"/>
    <sheet name="TABLEAU" sheetId="5" r:id="rId3"/>
  </sheets>
  <definedNames>
    <definedName name="_xlnm._FilterDatabase" localSheetId="0" hidden="1">Feuil1!$A$8:$AK$191</definedName>
    <definedName name="_xlnm._FilterDatabase" localSheetId="1" hidden="1">'Feuil1 (2)'!$A$8:$AI$191</definedName>
    <definedName name="_xlnm._FilterDatabase" localSheetId="2" hidden="1">TABLEAU!$Z$5:$AA$178</definedName>
    <definedName name="_xlnm.Print_Titles" localSheetId="0">Feuil1!$1:$7</definedName>
    <definedName name="_xlnm.Print_Titles" localSheetId="1">'Feuil1 (2)'!$1:$7</definedName>
    <definedName name="_xlnm.Print_Titles" localSheetId="2">TABLEAU!$1:$5</definedName>
    <definedName name="_xlnm.Print_Area" localSheetId="0">Feuil1!$B$2:$AK$197</definedName>
    <definedName name="_xlnm.Print_Area" localSheetId="1">'Feuil1 (2)'!$B$2:$AJ$197</definedName>
    <definedName name="_xlnm.Print_Area" localSheetId="2">TABLEAU!$B$4:$W$179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6" i="5" l="1"/>
  <c r="AH26" i="5" l="1"/>
  <c r="AG26" i="5"/>
  <c r="AD26" i="5"/>
  <c r="Z10" i="5" l="1"/>
  <c r="Z11" i="5"/>
  <c r="Z8" i="5"/>
  <c r="Z7" i="5"/>
  <c r="AC179" i="5" l="1"/>
  <c r="AB179" i="5"/>
  <c r="AA180" i="5"/>
  <c r="AA179" i="5"/>
  <c r="AC26" i="5"/>
  <c r="AB26" i="5"/>
  <c r="AA26" i="5"/>
  <c r="X31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29" i="5"/>
  <c r="X130" i="5"/>
  <c r="X131" i="5"/>
  <c r="X132" i="5"/>
  <c r="X133" i="5"/>
  <c r="X134" i="5"/>
  <c r="X135" i="5"/>
  <c r="X136" i="5"/>
  <c r="X137" i="5"/>
  <c r="X138" i="5"/>
  <c r="X139" i="5"/>
  <c r="X140" i="5"/>
  <c r="X141" i="5"/>
  <c r="X142" i="5"/>
  <c r="X143" i="5"/>
  <c r="X144" i="5"/>
  <c r="X145" i="5"/>
  <c r="X146" i="5"/>
  <c r="X147" i="5"/>
  <c r="X148" i="5"/>
  <c r="X149" i="5"/>
  <c r="X150" i="5"/>
  <c r="X151" i="5"/>
  <c r="X152" i="5"/>
  <c r="X153" i="5"/>
  <c r="X154" i="5"/>
  <c r="X155" i="5"/>
  <c r="X156" i="5"/>
  <c r="X157" i="5"/>
  <c r="X158" i="5"/>
  <c r="X159" i="5"/>
  <c r="X160" i="5"/>
  <c r="X161" i="5"/>
  <c r="X162" i="5"/>
  <c r="X163" i="5"/>
  <c r="X164" i="5"/>
  <c r="X165" i="5"/>
  <c r="X166" i="5"/>
  <c r="X167" i="5"/>
  <c r="X168" i="5"/>
  <c r="X169" i="5"/>
  <c r="X170" i="5"/>
  <c r="X171" i="5"/>
  <c r="X172" i="5"/>
  <c r="X173" i="5"/>
  <c r="X174" i="5"/>
  <c r="X175" i="5"/>
  <c r="X176" i="5"/>
  <c r="X177" i="5"/>
  <c r="X178" i="5"/>
  <c r="Z80" i="5" l="1"/>
  <c r="W123" i="5" l="1"/>
  <c r="N26" i="5"/>
  <c r="W60" i="5"/>
  <c r="M149" i="5" l="1"/>
  <c r="M78" i="5"/>
  <c r="M150" i="5"/>
  <c r="M6" i="5"/>
  <c r="M31" i="5"/>
  <c r="M26" i="5"/>
  <c r="M77" i="5"/>
  <c r="M88" i="5"/>
  <c r="M151" i="5"/>
  <c r="M59" i="5"/>
  <c r="M38" i="5"/>
  <c r="M138" i="5"/>
  <c r="M17" i="5"/>
  <c r="M27" i="5"/>
  <c r="M18" i="5"/>
  <c r="M49" i="5"/>
  <c r="M16" i="5"/>
  <c r="M114" i="5"/>
  <c r="M152" i="5"/>
  <c r="M89" i="5"/>
  <c r="M153" i="5"/>
  <c r="M24" i="5"/>
  <c r="M115" i="5"/>
  <c r="M154" i="5"/>
  <c r="M51" i="5"/>
  <c r="M155" i="5"/>
  <c r="M156" i="5"/>
  <c r="M157" i="5"/>
  <c r="M52" i="5"/>
  <c r="M116" i="5"/>
  <c r="M128" i="5"/>
  <c r="M55" i="5"/>
  <c r="M108" i="5"/>
  <c r="M117" i="5"/>
  <c r="M69" i="5"/>
  <c r="M58" i="5"/>
  <c r="M68" i="5"/>
  <c r="M9" i="5"/>
  <c r="M70" i="5"/>
  <c r="M102" i="5"/>
  <c r="M7" i="5"/>
  <c r="M74" i="5"/>
  <c r="M95" i="5"/>
  <c r="M60" i="5"/>
  <c r="M105" i="5"/>
  <c r="M158" i="5"/>
  <c r="M159" i="5"/>
  <c r="M160" i="5"/>
  <c r="M161" i="5"/>
  <c r="M118" i="5"/>
  <c r="M79" i="5"/>
  <c r="M162" i="5"/>
  <c r="M132" i="5"/>
  <c r="M141" i="5"/>
  <c r="M80" i="5"/>
  <c r="M119" i="5"/>
  <c r="M71" i="5"/>
  <c r="M96" i="5"/>
  <c r="M72" i="5"/>
  <c r="M133" i="5"/>
  <c r="M90" i="5"/>
  <c r="M120" i="5"/>
  <c r="M97" i="5"/>
  <c r="M103" i="5"/>
  <c r="M121" i="5"/>
  <c r="M134" i="5"/>
  <c r="M175" i="5"/>
  <c r="M109" i="5"/>
  <c r="M176" i="5"/>
  <c r="M63" i="5"/>
  <c r="M98" i="5"/>
  <c r="M81" i="5"/>
  <c r="M163" i="5"/>
  <c r="M164" i="5"/>
  <c r="M8" i="5"/>
  <c r="M165" i="5"/>
  <c r="M166" i="5"/>
  <c r="M75" i="5"/>
  <c r="M167" i="5"/>
  <c r="M168" i="5"/>
  <c r="M169" i="5"/>
  <c r="M170" i="5"/>
  <c r="M42" i="5"/>
  <c r="M46" i="5"/>
  <c r="M43" i="5"/>
  <c r="M122" i="5"/>
  <c r="M61" i="5"/>
  <c r="M65" i="5"/>
  <c r="M76" i="5"/>
  <c r="M91" i="5"/>
  <c r="M99" i="5"/>
  <c r="M135" i="5"/>
  <c r="M142" i="5"/>
  <c r="M171" i="5"/>
  <c r="M82" i="5"/>
  <c r="M44" i="5"/>
  <c r="M83" i="5"/>
  <c r="M172" i="5"/>
  <c r="M66" i="5"/>
  <c r="M53" i="5"/>
  <c r="M143" i="5"/>
  <c r="M112" i="5"/>
  <c r="M56" i="5"/>
  <c r="M136" i="5"/>
  <c r="M110" i="5"/>
  <c r="M139" i="5"/>
  <c r="M144" i="5"/>
  <c r="M92" i="5"/>
  <c r="M177" i="5"/>
  <c r="M145" i="5"/>
  <c r="M173" i="5"/>
  <c r="M123" i="5"/>
  <c r="M54" i="5"/>
  <c r="M84" i="5"/>
  <c r="M85" i="5"/>
  <c r="M129" i="5"/>
  <c r="M14" i="5"/>
  <c r="M19" i="5"/>
  <c r="M111" i="5"/>
  <c r="M32" i="5"/>
  <c r="M25" i="5"/>
  <c r="M36" i="5"/>
  <c r="M93" i="5"/>
  <c r="M104" i="5"/>
  <c r="M23" i="5"/>
  <c r="M37" i="5"/>
  <c r="M100" i="5"/>
  <c r="M86" i="5"/>
  <c r="M28" i="5"/>
  <c r="M21" i="5"/>
  <c r="M20" i="5"/>
  <c r="M174" i="5"/>
  <c r="M33" i="5"/>
  <c r="M48" i="5"/>
  <c r="M57" i="5"/>
  <c r="M106" i="5"/>
  <c r="M124" i="5"/>
  <c r="M87" i="5"/>
  <c r="M113" i="5"/>
  <c r="M30" i="5"/>
  <c r="M39" i="5"/>
  <c r="M125" i="5"/>
  <c r="M29" i="5"/>
  <c r="M126" i="5"/>
  <c r="M127" i="5"/>
  <c r="M47" i="5"/>
  <c r="M178" i="5"/>
  <c r="M10" i="5"/>
  <c r="M45" i="5"/>
  <c r="M15" i="5"/>
  <c r="M50" i="5"/>
  <c r="M22" i="5"/>
  <c r="M130" i="5"/>
  <c r="M131" i="5"/>
  <c r="M34" i="5"/>
  <c r="M12" i="5"/>
  <c r="M137" i="5"/>
  <c r="M11" i="5"/>
  <c r="M101" i="5"/>
  <c r="M67" i="5"/>
  <c r="M41" i="5"/>
  <c r="M140" i="5"/>
  <c r="M73" i="5"/>
  <c r="M107" i="5"/>
  <c r="M146" i="5"/>
  <c r="M147" i="5"/>
  <c r="M148" i="5"/>
  <c r="M13" i="5"/>
  <c r="M94" i="5"/>
  <c r="M64" i="5"/>
  <c r="M62" i="5"/>
  <c r="M40" i="5"/>
  <c r="M35" i="5"/>
  <c r="H179" i="5" l="1"/>
  <c r="E179" i="5"/>
  <c r="F179" i="5"/>
  <c r="G179" i="5"/>
  <c r="Q77" i="5" l="1"/>
  <c r="Q88" i="5"/>
  <c r="Q151" i="5"/>
  <c r="Q59" i="5"/>
  <c r="Q138" i="5"/>
  <c r="Q114" i="5"/>
  <c r="Q152" i="5"/>
  <c r="Q89" i="5"/>
  <c r="Q153" i="5"/>
  <c r="Q115" i="5"/>
  <c r="Q154" i="5"/>
  <c r="Q155" i="5"/>
  <c r="Q156" i="5"/>
  <c r="Q157" i="5"/>
  <c r="Q116" i="5"/>
  <c r="Q128" i="5"/>
  <c r="Q108" i="5"/>
  <c r="Q117" i="5"/>
  <c r="Q69" i="5"/>
  <c r="Q68" i="5"/>
  <c r="Q70" i="5"/>
  <c r="Q102" i="5"/>
  <c r="Q74" i="5"/>
  <c r="Q95" i="5"/>
  <c r="R95" i="5" s="1"/>
  <c r="Q60" i="5"/>
  <c r="Q105" i="5"/>
  <c r="Q158" i="5"/>
  <c r="Q159" i="5"/>
  <c r="Q160" i="5"/>
  <c r="Q161" i="5"/>
  <c r="Q118" i="5"/>
  <c r="Q79" i="5"/>
  <c r="Q162" i="5"/>
  <c r="Q132" i="5"/>
  <c r="Q141" i="5"/>
  <c r="Q80" i="5"/>
  <c r="Q119" i="5"/>
  <c r="Q71" i="5"/>
  <c r="Q96" i="5"/>
  <c r="Q72" i="5"/>
  <c r="Q133" i="5"/>
  <c r="Q90" i="5"/>
  <c r="Q120" i="5"/>
  <c r="Q97" i="5"/>
  <c r="Q103" i="5"/>
  <c r="Q121" i="5"/>
  <c r="Q134" i="5"/>
  <c r="Q175" i="5"/>
  <c r="Q109" i="5"/>
  <c r="Q176" i="5"/>
  <c r="Q63" i="5"/>
  <c r="Q98" i="5"/>
  <c r="Q81" i="5"/>
  <c r="Q163" i="5"/>
  <c r="Q164" i="5"/>
  <c r="Q165" i="5"/>
  <c r="Q166" i="5"/>
  <c r="Q75" i="5"/>
  <c r="Q167" i="5"/>
  <c r="Q168" i="5"/>
  <c r="Q169" i="5"/>
  <c r="Q170" i="5"/>
  <c r="Q122" i="5"/>
  <c r="Q61" i="5"/>
  <c r="Q65" i="5"/>
  <c r="Q76" i="5"/>
  <c r="Q91" i="5"/>
  <c r="Q99" i="5"/>
  <c r="Q135" i="5"/>
  <c r="Q142" i="5"/>
  <c r="Q171" i="5"/>
  <c r="Q82" i="5"/>
  <c r="Q83" i="5"/>
  <c r="Q172" i="5"/>
  <c r="Q66" i="5"/>
  <c r="Q143" i="5"/>
  <c r="Q112" i="5"/>
  <c r="Q136" i="5"/>
  <c r="Q110" i="5"/>
  <c r="Q139" i="5"/>
  <c r="Q144" i="5"/>
  <c r="Q92" i="5"/>
  <c r="Q177" i="5"/>
  <c r="Q145" i="5"/>
  <c r="Q173" i="5"/>
  <c r="Q123" i="5"/>
  <c r="Q84" i="5"/>
  <c r="Q85" i="5"/>
  <c r="Q129" i="5"/>
  <c r="Q111" i="5"/>
  <c r="Q93" i="5"/>
  <c r="Q104" i="5"/>
  <c r="Q100" i="5"/>
  <c r="Q86" i="5"/>
  <c r="Q174" i="5"/>
  <c r="Q106" i="5"/>
  <c r="Q124" i="5"/>
  <c r="Q87" i="5"/>
  <c r="Q113" i="5"/>
  <c r="Q125" i="5"/>
  <c r="Q126" i="5"/>
  <c r="Q127" i="5"/>
  <c r="Q178" i="5"/>
  <c r="Q130" i="5"/>
  <c r="Q131" i="5"/>
  <c r="Q137" i="5"/>
  <c r="Q101" i="5"/>
  <c r="Q67" i="5"/>
  <c r="Q140" i="5"/>
  <c r="Q73" i="5"/>
  <c r="Q107" i="5"/>
  <c r="Q146" i="5"/>
  <c r="Q147" i="5"/>
  <c r="Q148" i="5"/>
  <c r="Q94" i="5"/>
  <c r="Q64" i="5"/>
  <c r="Q62" i="5"/>
  <c r="Q149" i="5"/>
  <c r="Q78" i="5"/>
  <c r="Q150" i="5"/>
  <c r="Q31" i="5"/>
  <c r="R31" i="5" s="1"/>
  <c r="Q26" i="5"/>
  <c r="R26" i="5" s="1"/>
  <c r="Q38" i="5"/>
  <c r="R38" i="5" s="1"/>
  <c r="Q17" i="5"/>
  <c r="R17" i="5" s="1"/>
  <c r="Q27" i="5"/>
  <c r="R27" i="5" s="1"/>
  <c r="Q49" i="5"/>
  <c r="R49" i="5" s="1"/>
  <c r="Q24" i="5"/>
  <c r="R24" i="5" s="1"/>
  <c r="Q51" i="5"/>
  <c r="R51" i="5" s="1"/>
  <c r="Q9" i="5"/>
  <c r="R9" i="5" s="1"/>
  <c r="Q7" i="5"/>
  <c r="R7" i="5" s="1"/>
  <c r="Q8" i="5"/>
  <c r="R8" i="5" s="1"/>
  <c r="Q42" i="5"/>
  <c r="R42" i="5" s="1"/>
  <c r="Q46" i="5"/>
  <c r="R46" i="5" s="1"/>
  <c r="Q14" i="5"/>
  <c r="R14" i="5" s="1"/>
  <c r="Q19" i="5"/>
  <c r="R19" i="5" s="1"/>
  <c r="Q32" i="5"/>
  <c r="R32" i="5" s="1"/>
  <c r="Q36" i="5"/>
  <c r="R36" i="5" s="1"/>
  <c r="Q23" i="5"/>
  <c r="R23" i="5" s="1"/>
  <c r="Q37" i="5"/>
  <c r="R37" i="5" s="1"/>
  <c r="Q21" i="5"/>
  <c r="R21" i="5" s="1"/>
  <c r="Q20" i="5"/>
  <c r="R20" i="5" s="1"/>
  <c r="Q33" i="5"/>
  <c r="R33" i="5" s="1"/>
  <c r="Q48" i="5"/>
  <c r="R48" i="5" s="1"/>
  <c r="Q30" i="5"/>
  <c r="R30" i="5" s="1"/>
  <c r="Q39" i="5"/>
  <c r="R39" i="5" s="1"/>
  <c r="Q29" i="5"/>
  <c r="R29" i="5" s="1"/>
  <c r="Q47" i="5"/>
  <c r="R47" i="5" s="1"/>
  <c r="Q10" i="5"/>
  <c r="R10" i="5" s="1"/>
  <c r="Q45" i="5"/>
  <c r="R45" i="5" s="1"/>
  <c r="Q15" i="5"/>
  <c r="R15" i="5" s="1"/>
  <c r="Q50" i="5"/>
  <c r="R50" i="5" s="1"/>
  <c r="Q34" i="5"/>
  <c r="R34" i="5" s="1"/>
  <c r="Q11" i="5"/>
  <c r="R11" i="5" s="1"/>
  <c r="Q41" i="5"/>
  <c r="R41" i="5" s="1"/>
  <c r="Q13" i="5"/>
  <c r="R13" i="5" s="1"/>
  <c r="Q40" i="5"/>
  <c r="R40" i="5" s="1"/>
  <c r="L179" i="5" l="1"/>
  <c r="W13" i="5"/>
  <c r="W67" i="5"/>
  <c r="Q53" i="5"/>
  <c r="R53" i="5" s="1"/>
  <c r="W12" i="5"/>
  <c r="Q22" i="5"/>
  <c r="R22" i="5" s="1"/>
  <c r="Q28" i="5"/>
  <c r="R28" i="5" s="1"/>
  <c r="Q56" i="5"/>
  <c r="R56" i="5" s="1"/>
  <c r="Q44" i="5"/>
  <c r="R44" i="5" s="1"/>
  <c r="Q18" i="5"/>
  <c r="R18" i="5" s="1"/>
  <c r="W107" i="5"/>
  <c r="W22" i="5"/>
  <c r="W10" i="5"/>
  <c r="W126" i="5"/>
  <c r="W147" i="5"/>
  <c r="Q55" i="5"/>
  <c r="R55" i="5" s="1"/>
  <c r="W64" i="5"/>
  <c r="W140" i="5"/>
  <c r="W11" i="5"/>
  <c r="W131" i="5"/>
  <c r="W15" i="5"/>
  <c r="W47" i="5"/>
  <c r="Q25" i="5"/>
  <c r="R25" i="5" s="1"/>
  <c r="Q52" i="5"/>
  <c r="R52" i="5" s="1"/>
  <c r="R179" i="5" s="1"/>
  <c r="W62" i="5"/>
  <c r="Q57" i="5"/>
  <c r="R57" i="5" s="1"/>
  <c r="Q54" i="5"/>
  <c r="R54" i="5" s="1"/>
  <c r="Q43" i="5"/>
  <c r="R43" i="5" s="1"/>
  <c r="Q35" i="5"/>
  <c r="R35" i="5" s="1"/>
  <c r="Q12" i="5"/>
  <c r="R12" i="5" s="1"/>
  <c r="Q58" i="5"/>
  <c r="R58" i="5" s="1"/>
  <c r="Q16" i="5"/>
  <c r="R16" i="5" s="1"/>
  <c r="W73" i="5"/>
  <c r="W148" i="5"/>
  <c r="W146" i="5"/>
  <c r="W101" i="5"/>
  <c r="W34" i="5"/>
  <c r="W50" i="5"/>
  <c r="W178" i="5"/>
  <c r="W29" i="5"/>
  <c r="W94" i="5"/>
  <c r="W41" i="5"/>
  <c r="W137" i="5"/>
  <c r="W130" i="5"/>
  <c r="W45" i="5"/>
  <c r="W127" i="5"/>
  <c r="W35" i="5"/>
  <c r="W40" i="5"/>
  <c r="V179" i="5"/>
  <c r="W89" i="5"/>
  <c r="W51" i="5"/>
  <c r="Q6" i="5"/>
  <c r="R6" i="5" s="1"/>
  <c r="P179" i="5" l="1"/>
  <c r="P180" i="5" s="1"/>
  <c r="Q179" i="5" l="1"/>
  <c r="W125" i="5"/>
  <c r="W171" i="5"/>
  <c r="W75" i="5"/>
  <c r="W33" i="5"/>
  <c r="W14" i="5"/>
  <c r="W110" i="5"/>
  <c r="W83" i="5"/>
  <c r="W43" i="5"/>
  <c r="W163" i="5"/>
  <c r="W71" i="5"/>
  <c r="W7" i="5"/>
  <c r="W108" i="5"/>
  <c r="W52" i="5"/>
  <c r="W153" i="5"/>
  <c r="W88" i="5"/>
  <c r="W21" i="5"/>
  <c r="W36" i="5"/>
  <c r="W84" i="5"/>
  <c r="W112" i="5"/>
  <c r="W122" i="5"/>
  <c r="W170" i="5"/>
  <c r="W164" i="5"/>
  <c r="W63" i="5"/>
  <c r="W134" i="5"/>
  <c r="W96" i="5"/>
  <c r="W118" i="5"/>
  <c r="W158" i="5"/>
  <c r="W9" i="5"/>
  <c r="W116" i="5"/>
  <c r="W156" i="5"/>
  <c r="W16" i="5"/>
  <c r="W31" i="5"/>
  <c r="W39" i="5"/>
  <c r="W124" i="5"/>
  <c r="W28" i="5"/>
  <c r="W23" i="5"/>
  <c r="W25" i="5"/>
  <c r="W54" i="5"/>
  <c r="W177" i="5"/>
  <c r="W143" i="5"/>
  <c r="W142" i="5"/>
  <c r="W76" i="5"/>
  <c r="W169" i="5"/>
  <c r="W166" i="5"/>
  <c r="W176" i="5"/>
  <c r="W121" i="5"/>
  <c r="W90" i="5"/>
  <c r="W132" i="5"/>
  <c r="W161" i="5"/>
  <c r="W105" i="5"/>
  <c r="W68" i="5"/>
  <c r="W155" i="5"/>
  <c r="W49" i="5"/>
  <c r="W138" i="5"/>
  <c r="W6" i="5"/>
  <c r="W87" i="5"/>
  <c r="W48" i="5"/>
  <c r="W37" i="5"/>
  <c r="W19" i="5"/>
  <c r="W145" i="5"/>
  <c r="W139" i="5"/>
  <c r="W172" i="5"/>
  <c r="W91" i="5"/>
  <c r="W120" i="5"/>
  <c r="W141" i="5"/>
  <c r="W74" i="5"/>
  <c r="W117" i="5"/>
  <c r="W24" i="5"/>
  <c r="W17" i="5"/>
  <c r="W151" i="5"/>
  <c r="W18" i="5"/>
  <c r="W38" i="5"/>
  <c r="W77" i="5"/>
  <c r="W150" i="5"/>
  <c r="W149" i="5"/>
  <c r="W30" i="5"/>
  <c r="W106" i="5"/>
  <c r="W174" i="5"/>
  <c r="W86" i="5"/>
  <c r="W104" i="5"/>
  <c r="W32" i="5"/>
  <c r="W129" i="5"/>
  <c r="W92" i="5"/>
  <c r="W136" i="5"/>
  <c r="W53" i="5"/>
  <c r="W44" i="5"/>
  <c r="W135" i="5"/>
  <c r="W65" i="5"/>
  <c r="W46" i="5"/>
  <c r="W168" i="5"/>
  <c r="W165" i="5"/>
  <c r="W81" i="5"/>
  <c r="W109" i="5"/>
  <c r="W103" i="5"/>
  <c r="W133" i="5"/>
  <c r="W119" i="5"/>
  <c r="W162" i="5"/>
  <c r="W160" i="5"/>
  <c r="W102" i="5"/>
  <c r="W58" i="5"/>
  <c r="W55" i="5"/>
  <c r="W154" i="5"/>
  <c r="W152" i="5"/>
  <c r="W113" i="5"/>
  <c r="W57" i="5"/>
  <c r="W20" i="5"/>
  <c r="W100" i="5"/>
  <c r="W93" i="5"/>
  <c r="W111" i="5"/>
  <c r="W85" i="5"/>
  <c r="W173" i="5"/>
  <c r="W144" i="5"/>
  <c r="W56" i="5"/>
  <c r="W66" i="5"/>
  <c r="W82" i="5"/>
  <c r="W99" i="5"/>
  <c r="W61" i="5"/>
  <c r="W42" i="5"/>
  <c r="W167" i="5"/>
  <c r="W8" i="5"/>
  <c r="W98" i="5"/>
  <c r="W175" i="5"/>
  <c r="W97" i="5"/>
  <c r="W72" i="5"/>
  <c r="W80" i="5"/>
  <c r="W79" i="5"/>
  <c r="W159" i="5"/>
  <c r="W95" i="5"/>
  <c r="W70" i="5"/>
  <c r="W69" i="5"/>
  <c r="W128" i="5"/>
  <c r="W157" i="5"/>
  <c r="W115" i="5"/>
  <c r="W114" i="5"/>
  <c r="W27" i="5"/>
  <c r="W59" i="5"/>
  <c r="W78" i="5"/>
  <c r="K179" i="5" l="1"/>
  <c r="J179" i="5"/>
  <c r="I179" i="5"/>
  <c r="W179" i="5"/>
  <c r="W182" i="5" s="1"/>
  <c r="O179" i="5"/>
  <c r="O180" i="5" s="1"/>
  <c r="U179" i="5" l="1"/>
  <c r="T179" i="5"/>
  <c r="S179" i="5"/>
  <c r="S182" i="5" l="1"/>
  <c r="T182" i="5"/>
  <c r="S180" i="5"/>
  <c r="T184" i="5"/>
  <c r="T180" i="5"/>
  <c r="Z195" i="1"/>
  <c r="AH195" i="4" l="1"/>
  <c r="AG195" i="4"/>
  <c r="AF195" i="4"/>
  <c r="AE195" i="4"/>
  <c r="AD195" i="4"/>
  <c r="Z195" i="4"/>
  <c r="X195" i="4"/>
  <c r="T195" i="4"/>
  <c r="S195" i="4"/>
  <c r="N195" i="4"/>
  <c r="M195" i="4"/>
  <c r="J195" i="4"/>
  <c r="I195" i="4"/>
  <c r="H195" i="4"/>
  <c r="G195" i="4"/>
  <c r="AI192" i="4"/>
  <c r="AI191" i="4"/>
  <c r="AI190" i="4"/>
  <c r="AI189" i="4"/>
  <c r="AI188" i="4"/>
  <c r="AI187" i="4"/>
  <c r="AI186" i="4"/>
  <c r="AI185" i="4"/>
  <c r="AI184" i="4"/>
  <c r="AI183" i="4"/>
  <c r="AI182" i="4"/>
  <c r="AI181" i="4"/>
  <c r="AI180" i="4"/>
  <c r="AI179" i="4"/>
  <c r="AI178" i="4"/>
  <c r="AI177" i="4"/>
  <c r="AI176" i="4"/>
  <c r="AI175" i="4"/>
  <c r="AI174" i="4"/>
  <c r="AI173" i="4"/>
  <c r="AI172" i="4"/>
  <c r="AI171" i="4"/>
  <c r="AI170" i="4"/>
  <c r="AI169" i="4"/>
  <c r="AI168" i="4"/>
  <c r="AI167" i="4"/>
  <c r="AI166" i="4"/>
  <c r="AI165" i="4"/>
  <c r="AI164" i="4"/>
  <c r="AI163" i="4"/>
  <c r="AI162" i="4"/>
  <c r="AI160" i="4"/>
  <c r="AI159" i="4"/>
  <c r="AI158" i="4"/>
  <c r="AI156" i="4"/>
  <c r="AI155" i="4"/>
  <c r="AI154" i="4"/>
  <c r="AI153" i="4"/>
  <c r="AI152" i="4"/>
  <c r="AI151" i="4"/>
  <c r="AI150" i="4"/>
  <c r="AI149" i="4"/>
  <c r="AI148" i="4"/>
  <c r="AI147" i="4"/>
  <c r="AI146" i="4"/>
  <c r="AI145" i="4"/>
  <c r="AI144" i="4"/>
  <c r="AI143" i="4"/>
  <c r="AI142" i="4"/>
  <c r="AI141" i="4"/>
  <c r="AI140" i="4"/>
  <c r="AI139" i="4"/>
  <c r="AI138" i="4"/>
  <c r="AI137" i="4"/>
  <c r="AI136" i="4"/>
  <c r="AI135" i="4"/>
  <c r="AI134" i="4"/>
  <c r="AI133" i="4"/>
  <c r="AI132" i="4"/>
  <c r="AI131" i="4"/>
  <c r="AI130" i="4"/>
  <c r="AI129" i="4"/>
  <c r="AI128" i="4"/>
  <c r="AI127" i="4"/>
  <c r="AI126" i="4"/>
  <c r="AI125" i="4"/>
  <c r="AI124" i="4"/>
  <c r="AI123" i="4"/>
  <c r="AI122" i="4"/>
  <c r="AI121" i="4"/>
  <c r="AI120" i="4"/>
  <c r="AI119" i="4"/>
  <c r="AI118" i="4"/>
  <c r="AI117" i="4"/>
  <c r="AI116" i="4"/>
  <c r="AI115" i="4"/>
  <c r="AI113" i="4"/>
  <c r="AI112" i="4"/>
  <c r="AI111" i="4"/>
  <c r="AI110" i="4"/>
  <c r="AI109" i="4"/>
  <c r="AI108" i="4"/>
  <c r="AI107" i="4"/>
  <c r="AI106" i="4"/>
  <c r="AI105" i="4"/>
  <c r="AI104" i="4"/>
  <c r="AI103" i="4"/>
  <c r="AI102" i="4"/>
  <c r="AI101" i="4"/>
  <c r="AI99" i="4"/>
  <c r="AI97" i="4"/>
  <c r="AI96" i="4"/>
  <c r="AI95" i="4"/>
  <c r="AI94" i="4"/>
  <c r="AI93" i="4"/>
  <c r="AI92" i="4"/>
  <c r="AI91" i="4"/>
  <c r="AI90" i="4"/>
  <c r="AI89" i="4"/>
  <c r="AI88" i="4"/>
  <c r="AI87" i="4"/>
  <c r="AI86" i="4"/>
  <c r="AI85" i="4"/>
  <c r="AI84" i="4"/>
  <c r="AI83" i="4"/>
  <c r="AI82" i="4"/>
  <c r="AI81" i="4"/>
  <c r="AI80" i="4"/>
  <c r="AI79" i="4"/>
  <c r="AI78" i="4"/>
  <c r="AI77" i="4"/>
  <c r="AI76" i="4"/>
  <c r="AI75" i="4"/>
  <c r="AI74" i="4"/>
  <c r="AI73" i="4"/>
  <c r="AI72" i="4"/>
  <c r="AI71" i="4"/>
  <c r="AI70" i="4"/>
  <c r="AI69" i="4"/>
  <c r="AI68" i="4"/>
  <c r="AI67" i="4"/>
  <c r="AI66" i="4"/>
  <c r="AI65" i="4"/>
  <c r="AI64" i="4"/>
  <c r="AI63" i="4"/>
  <c r="AI62" i="4"/>
  <c r="AI61" i="4"/>
  <c r="AI60" i="4"/>
  <c r="AI59" i="4"/>
  <c r="AI58" i="4"/>
  <c r="F58" i="4"/>
  <c r="AI57" i="4"/>
  <c r="AI56" i="4"/>
  <c r="AI55" i="4"/>
  <c r="AI54" i="4"/>
  <c r="AI53" i="4"/>
  <c r="AI52" i="4"/>
  <c r="AI51" i="4"/>
  <c r="AI50" i="4"/>
  <c r="AI49" i="4"/>
  <c r="AI48" i="4"/>
  <c r="AI47" i="4"/>
  <c r="AI46" i="4"/>
  <c r="AI45" i="4"/>
  <c r="AI44" i="4"/>
  <c r="AI43" i="4"/>
  <c r="AI42" i="4"/>
  <c r="AI41" i="4"/>
  <c r="AI40" i="4"/>
  <c r="AI39" i="4"/>
  <c r="AI38" i="4"/>
  <c r="AI37" i="4"/>
  <c r="AI36" i="4"/>
  <c r="AI35" i="4"/>
  <c r="AI34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195" i="4" l="1"/>
  <c r="AH195" i="1"/>
  <c r="L195" i="4"/>
  <c r="R195" i="4"/>
  <c r="AB70" i="1"/>
  <c r="AB102" i="1"/>
  <c r="AB113" i="1"/>
  <c r="AB127" i="1"/>
  <c r="AB149" i="1"/>
  <c r="AB174" i="1"/>
  <c r="AB177" i="1"/>
  <c r="AB185" i="1"/>
  <c r="AB187" i="1"/>
  <c r="AB189" i="1"/>
  <c r="AB191" i="1"/>
  <c r="AB193" i="1"/>
  <c r="AB23" i="1"/>
  <c r="AB38" i="1"/>
  <c r="AB77" i="1"/>
  <c r="AB106" i="1"/>
  <c r="AB114" i="1"/>
  <c r="AB143" i="1"/>
  <c r="AB151" i="1"/>
  <c r="AB176" i="1"/>
  <c r="AB181" i="1"/>
  <c r="AB186" i="1"/>
  <c r="AB188" i="1"/>
  <c r="AB190" i="1"/>
  <c r="AB192" i="1"/>
  <c r="AB36" i="1"/>
  <c r="V195" i="1"/>
  <c r="P195" i="4"/>
  <c r="P195" i="1" l="1"/>
  <c r="R195" i="1"/>
  <c r="X195" i="1"/>
  <c r="AJ195" i="1" l="1"/>
  <c r="AK192" i="1"/>
  <c r="AG195" i="1" l="1"/>
  <c r="AI195" i="1"/>
  <c r="AF195" i="1" l="1"/>
  <c r="AK11" i="1" l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9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8" i="1"/>
  <c r="AK159" i="1"/>
  <c r="AK160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0" i="1"/>
  <c r="AK9" i="1"/>
  <c r="AK195" i="1" l="1"/>
  <c r="T195" i="1"/>
  <c r="I195" i="1"/>
  <c r="S195" i="1"/>
  <c r="H195" i="1"/>
  <c r="N195" i="1"/>
  <c r="G195" i="1"/>
  <c r="M195" i="1"/>
  <c r="J195" i="1" l="1"/>
  <c r="AB179" i="1" l="1"/>
  <c r="AB13" i="1"/>
  <c r="AB79" i="1"/>
  <c r="AB47" i="1"/>
  <c r="AB50" i="1"/>
  <c r="AB156" i="1"/>
  <c r="AB10" i="1"/>
  <c r="AB15" i="1"/>
  <c r="AB134" i="1"/>
  <c r="AB18" i="1"/>
  <c r="AB19" i="1"/>
  <c r="AB118" i="1"/>
  <c r="AB119" i="1"/>
  <c r="AB24" i="1"/>
  <c r="AB180" i="1"/>
  <c r="AB166" i="1"/>
  <c r="AB167" i="1"/>
  <c r="AB41" i="1"/>
  <c r="AB27" i="1"/>
  <c r="AB152" i="1"/>
  <c r="AB153" i="1"/>
  <c r="AB40" i="1"/>
  <c r="AB46" i="1"/>
  <c r="AB58" i="1"/>
  <c r="AB69" i="1"/>
  <c r="AB85" i="1"/>
  <c r="AB26" i="1"/>
  <c r="AB91" i="1"/>
  <c r="AB175" i="1"/>
  <c r="AB30" i="1"/>
  <c r="AB103" i="1"/>
  <c r="AB104" i="1"/>
  <c r="AB29" i="1"/>
  <c r="AB71" i="1"/>
  <c r="AB39" i="1"/>
  <c r="AB51" i="1"/>
  <c r="AB60" i="1"/>
  <c r="AB11" i="1"/>
  <c r="AB80" i="1"/>
  <c r="AB144" i="1"/>
  <c r="AB145" i="1"/>
  <c r="AB147" i="1"/>
  <c r="AB146" i="1"/>
  <c r="AB105" i="1"/>
  <c r="AB178" i="1"/>
  <c r="AB165" i="1"/>
  <c r="AB154" i="1"/>
  <c r="AB126" i="1"/>
  <c r="AB67" i="1"/>
  <c r="AB135" i="1"/>
  <c r="AB92" i="1"/>
  <c r="AB31" i="1"/>
  <c r="AB61" i="1"/>
  <c r="AB120" i="1"/>
  <c r="AB56" i="1"/>
  <c r="AB93" i="1"/>
  <c r="AB57" i="1"/>
  <c r="AB72" i="1"/>
  <c r="AB94" i="1"/>
  <c r="AB121" i="1"/>
  <c r="AB173" i="1"/>
  <c r="AB25" i="1"/>
  <c r="AB168" i="1"/>
  <c r="AB110" i="1"/>
  <c r="AB17" i="1"/>
  <c r="AB161" i="1"/>
  <c r="AB155" i="1"/>
  <c r="AB157" i="1"/>
  <c r="AB169" i="1"/>
  <c r="AB160" i="1"/>
  <c r="AB44" i="1"/>
  <c r="AB158" i="1"/>
  <c r="AB182" i="1"/>
  <c r="AB183" i="1"/>
  <c r="AB184" i="1"/>
  <c r="AB159" i="1"/>
  <c r="AB42" i="1"/>
  <c r="AB48" i="1"/>
  <c r="AB12" i="1"/>
  <c r="AB21" i="1"/>
  <c r="AB45" i="1"/>
  <c r="AB55" i="1"/>
  <c r="AB66" i="1"/>
  <c r="AB125" i="1"/>
  <c r="AB142" i="1"/>
  <c r="AB148" i="1"/>
  <c r="AB107" i="1"/>
  <c r="AB162" i="1"/>
  <c r="AB22" i="1"/>
  <c r="AB43" i="1"/>
  <c r="AB136" i="1"/>
  <c r="AB88" i="1"/>
  <c r="AB68" i="1"/>
  <c r="AB122" i="1"/>
  <c r="AB128" i="1"/>
  <c r="AB131" i="1"/>
  <c r="AB137" i="1"/>
  <c r="AB141" i="1"/>
  <c r="AB108" i="1"/>
  <c r="AB49" i="1"/>
  <c r="AB111" i="1"/>
  <c r="AB129" i="1"/>
  <c r="AB81" i="1"/>
  <c r="AB52" i="1"/>
  <c r="AB59" i="1"/>
  <c r="AB53" i="1"/>
  <c r="AB78" i="1"/>
  <c r="AB62" i="1"/>
  <c r="AB63" i="1"/>
  <c r="AB64" i="1"/>
  <c r="AB32" i="1"/>
  <c r="AB73" i="1"/>
  <c r="AB74" i="1"/>
  <c r="AB163" i="1"/>
  <c r="AB132" i="1"/>
  <c r="AB164" i="1"/>
  <c r="AB82" i="1"/>
  <c r="AB83" i="1"/>
  <c r="AB75" i="1"/>
  <c r="AB87" i="1"/>
  <c r="AB86" i="1"/>
  <c r="AB109" i="1"/>
  <c r="AB89" i="1"/>
  <c r="AB95" i="1"/>
  <c r="AB96" i="1"/>
  <c r="AB97" i="1"/>
  <c r="AB98" i="1"/>
  <c r="AB99" i="1"/>
  <c r="AB33" i="1"/>
  <c r="AB170" i="1"/>
  <c r="AB171" i="1"/>
  <c r="AB34" i="1"/>
  <c r="AB35" i="1"/>
  <c r="AB20" i="1"/>
  <c r="AB76" i="1"/>
  <c r="AB112" i="1"/>
  <c r="AB115" i="1"/>
  <c r="AB116" i="1"/>
  <c r="AB123" i="1"/>
  <c r="AB124" i="1"/>
  <c r="AB130" i="1"/>
  <c r="AB65" i="1"/>
  <c r="AB28" i="1"/>
  <c r="AB100" i="1"/>
  <c r="AB133" i="1"/>
  <c r="AB37" i="1"/>
  <c r="AB84" i="1"/>
  <c r="AB138" i="1"/>
  <c r="AB139" i="1"/>
  <c r="AB140" i="1"/>
  <c r="AB90" i="1"/>
  <c r="AB16" i="1"/>
  <c r="AB14" i="1"/>
  <c r="AB101" i="1"/>
  <c r="AB117" i="1"/>
  <c r="AB54" i="1"/>
  <c r="AB172" i="1"/>
  <c r="F195" i="4" l="1"/>
  <c r="AB150" i="1"/>
  <c r="AB9" i="1" l="1"/>
  <c r="AB195" i="1" s="1"/>
  <c r="F195" i="1"/>
  <c r="M179" i="5" l="1"/>
  <c r="W180" i="5" l="1"/>
  <c r="M180" i="5"/>
</calcChain>
</file>

<file path=xl/sharedStrings.xml><?xml version="1.0" encoding="utf-8"?>
<sst xmlns="http://schemas.openxmlformats.org/spreadsheetml/2006/main" count="3010" uniqueCount="584">
  <si>
    <t>0134009M</t>
  </si>
  <si>
    <t>AIX-MARSEILLE</t>
  </si>
  <si>
    <t>RCE (F) 2012</t>
  </si>
  <si>
    <t>0801344B</t>
  </si>
  <si>
    <t>AMIENS</t>
  </si>
  <si>
    <t>RCE 2011</t>
  </si>
  <si>
    <t>0490970N</t>
  </si>
  <si>
    <t>ANGERS</t>
  </si>
  <si>
    <t>RCE 2010</t>
  </si>
  <si>
    <t>9710585J</t>
  </si>
  <si>
    <t>ANTILLES</t>
  </si>
  <si>
    <t>RCE 2013</t>
  </si>
  <si>
    <t>0623957P</t>
  </si>
  <si>
    <t>0840685N</t>
  </si>
  <si>
    <t>AVIGNON</t>
  </si>
  <si>
    <t>0251215K</t>
  </si>
  <si>
    <t>BESANÇON</t>
  </si>
  <si>
    <t>0333298F</t>
  </si>
  <si>
    <t>BORDEAUX</t>
  </si>
  <si>
    <t>RCE (F) 2014</t>
  </si>
  <si>
    <t>0331766R</t>
  </si>
  <si>
    <t>BORDEAUX III</t>
  </si>
  <si>
    <t>0290346U</t>
  </si>
  <si>
    <t>BRETAGNE OCCIDENTALE</t>
  </si>
  <si>
    <t>0561718N</t>
  </si>
  <si>
    <t>BRETAGNE SUD</t>
  </si>
  <si>
    <t>0772710C</t>
  </si>
  <si>
    <t>COMUE PARIS EST</t>
  </si>
  <si>
    <t>Non RCE</t>
  </si>
  <si>
    <t>0755698L</t>
  </si>
  <si>
    <t>COMUE PARIS LUMIERES</t>
  </si>
  <si>
    <t>0141408E</t>
  </si>
  <si>
    <t>CAEN</t>
  </si>
  <si>
    <t>0912341A</t>
  </si>
  <si>
    <t>CENTRALE SUPELEC</t>
  </si>
  <si>
    <t>RCE 2015</t>
  </si>
  <si>
    <t>0951793H</t>
  </si>
  <si>
    <t>CERGY-PONTOISE</t>
  </si>
  <si>
    <t>RCE 2009</t>
  </si>
  <si>
    <t>0730858L</t>
  </si>
  <si>
    <t>CHAMBERY</t>
  </si>
  <si>
    <t>0632035V</t>
  </si>
  <si>
    <t>UNIVERSITE CLERMONT AUVERGNE</t>
  </si>
  <si>
    <t>RCE 2017</t>
  </si>
  <si>
    <t>0753471R</t>
  </si>
  <si>
    <t>CNAM</t>
  </si>
  <si>
    <t>0753480A</t>
  </si>
  <si>
    <t>COLLEGE DE FRANCE</t>
  </si>
  <si>
    <t>RCE 2012</t>
  </si>
  <si>
    <t>7200664J</t>
  </si>
  <si>
    <t>CORTE</t>
  </si>
  <si>
    <t>0211237F</t>
  </si>
  <si>
    <t>DIJON</t>
  </si>
  <si>
    <t>0590349J</t>
  </si>
  <si>
    <t>EC LILLE</t>
  </si>
  <si>
    <t>0690187D</t>
  </si>
  <si>
    <t>EC LYON</t>
  </si>
  <si>
    <t>0133774G</t>
  </si>
  <si>
    <t>EC MARSEILLE</t>
  </si>
  <si>
    <t>RCE 2014</t>
  </si>
  <si>
    <t>0440100V</t>
  </si>
  <si>
    <t>EC NANTES</t>
  </si>
  <si>
    <t>0911568K</t>
  </si>
  <si>
    <t>ECOLE POLYTECHNIQUE</t>
  </si>
  <si>
    <t>0350095N</t>
  </si>
  <si>
    <t>EHESP</t>
  </si>
  <si>
    <t>0753742K</t>
  </si>
  <si>
    <t>EHESS PARIS</t>
  </si>
  <si>
    <t>0650048Z</t>
  </si>
  <si>
    <t>ENI TARBES</t>
  </si>
  <si>
    <t>0753455Y</t>
  </si>
  <si>
    <t>ENS</t>
  </si>
  <si>
    <t>0940607Z</t>
  </si>
  <si>
    <t>ENS CACHAN</t>
  </si>
  <si>
    <t>0694123G</t>
  </si>
  <si>
    <t>ENS LYON</t>
  </si>
  <si>
    <t>0352440M</t>
  </si>
  <si>
    <t>ENS RENNES</t>
  </si>
  <si>
    <t>0753237L</t>
  </si>
  <si>
    <t>ENSAM</t>
  </si>
  <si>
    <t>0340112M</t>
  </si>
  <si>
    <t>ENSC MONTPELLIER</t>
  </si>
  <si>
    <t>0753375L</t>
  </si>
  <si>
    <t>ENSC PARIS</t>
  </si>
  <si>
    <t>0350077U</t>
  </si>
  <si>
    <t>ENSC RENNES</t>
  </si>
  <si>
    <t>0141720U</t>
  </si>
  <si>
    <t>ENSI CAEN</t>
  </si>
  <si>
    <t>0912266U</t>
  </si>
  <si>
    <t>ENSIIE</t>
  </si>
  <si>
    <t>0860073M</t>
  </si>
  <si>
    <t>ENSMA DE POITIERS</t>
  </si>
  <si>
    <t>0753486G</t>
  </si>
  <si>
    <t>EPHE</t>
  </si>
  <si>
    <t>0911975C</t>
  </si>
  <si>
    <t>EVRY-VAL D'ESSONNE</t>
  </si>
  <si>
    <t>0383493R</t>
  </si>
  <si>
    <t>GRENOBLE ALPES</t>
  </si>
  <si>
    <t>RCE (F) 2016</t>
  </si>
  <si>
    <t>9730429D</t>
  </si>
  <si>
    <t>GUYANE</t>
  </si>
  <si>
    <t>0381912X</t>
  </si>
  <si>
    <t>INP GRENOBLE</t>
  </si>
  <si>
    <t>0311381H</t>
  </si>
  <si>
    <t>INP TOULOUSE</t>
  </si>
  <si>
    <t>0180974L</t>
  </si>
  <si>
    <t>INSA CENTRE VAL DE LOIRE</t>
  </si>
  <si>
    <t>RCE (F) 2015</t>
  </si>
  <si>
    <t>0350097R</t>
  </si>
  <si>
    <t>INSA DE RENNES</t>
  </si>
  <si>
    <t>0760165S</t>
  </si>
  <si>
    <t>INSA DE ROUEN</t>
  </si>
  <si>
    <t>0670190T</t>
  </si>
  <si>
    <t>INSA DE STRASBOURG</t>
  </si>
  <si>
    <t>0310152X</t>
  </si>
  <si>
    <t>INSA DE TOULOUSE</t>
  </si>
  <si>
    <t>9740478B</t>
  </si>
  <si>
    <t>LA REUNION</t>
  </si>
  <si>
    <t>0171463Y</t>
  </si>
  <si>
    <t>LA ROCHELLE</t>
  </si>
  <si>
    <t>0762762P</t>
  </si>
  <si>
    <t>LE HAVRE</t>
  </si>
  <si>
    <t>0720916E</t>
  </si>
  <si>
    <t>LE MANS</t>
  </si>
  <si>
    <t>0870669E</t>
  </si>
  <si>
    <t>0595964M</t>
  </si>
  <si>
    <t>LITTORAL</t>
  </si>
  <si>
    <t>0542493S</t>
  </si>
  <si>
    <t>LORRAINE</t>
  </si>
  <si>
    <t>0691774D</t>
  </si>
  <si>
    <t>LYON I</t>
  </si>
  <si>
    <t>0691775E</t>
  </si>
  <si>
    <t>LYON II</t>
  </si>
  <si>
    <t>0692437Z</t>
  </si>
  <si>
    <t>LYON III</t>
  </si>
  <si>
    <t>0772502B</t>
  </si>
  <si>
    <t>MARNE-LA-VALLEE</t>
  </si>
  <si>
    <t>0342321N</t>
  </si>
  <si>
    <t>MONTPELLIER</t>
  </si>
  <si>
    <t>0341089Z</t>
  </si>
  <si>
    <t>MONTPELLIER III</t>
  </si>
  <si>
    <t>0681166Y</t>
  </si>
  <si>
    <t>MULHOUSE</t>
  </si>
  <si>
    <t>0440984F</t>
  </si>
  <si>
    <t>NANTES</t>
  </si>
  <si>
    <t>0060931E</t>
  </si>
  <si>
    <t>NICE</t>
  </si>
  <si>
    <t>0301687W</t>
  </si>
  <si>
    <t>NÎMES</t>
  </si>
  <si>
    <t>9830445S</t>
  </si>
  <si>
    <t>NOUVELLE-CALEDONIE</t>
  </si>
  <si>
    <t>0450855K</t>
  </si>
  <si>
    <t>ORLEANS</t>
  </si>
  <si>
    <t>0751717J</t>
  </si>
  <si>
    <t>PARIS I</t>
  </si>
  <si>
    <t>0751718K</t>
  </si>
  <si>
    <t>PARIS II</t>
  </si>
  <si>
    <t>0751719L</t>
  </si>
  <si>
    <t>PARIS III</t>
  </si>
  <si>
    <t>0751721N</t>
  </si>
  <si>
    <t>PARIS V</t>
  </si>
  <si>
    <t>0751723R</t>
  </si>
  <si>
    <t>PARIS VII</t>
  </si>
  <si>
    <t>0931827F</t>
  </si>
  <si>
    <t>PARIS VIII</t>
  </si>
  <si>
    <t>0921204J</t>
  </si>
  <si>
    <t>PARIS X</t>
  </si>
  <si>
    <t>0911101C</t>
  </si>
  <si>
    <t>PARIS XI</t>
  </si>
  <si>
    <t>0941111X</t>
  </si>
  <si>
    <t>PARIS XII</t>
  </si>
  <si>
    <t>0931238R</t>
  </si>
  <si>
    <t>PARIS XIII</t>
  </si>
  <si>
    <t>0640251A</t>
  </si>
  <si>
    <t>PAU</t>
  </si>
  <si>
    <t>0660437S</t>
  </si>
  <si>
    <t>PERPIGNAN</t>
  </si>
  <si>
    <t>0860856N</t>
  </si>
  <si>
    <t>POITIERS</t>
  </si>
  <si>
    <t>9840349G</t>
  </si>
  <si>
    <t>POLYNESIE FRANCAISE</t>
  </si>
  <si>
    <t>0511296G</t>
  </si>
  <si>
    <t>REIMS</t>
  </si>
  <si>
    <t>0350936C</t>
  </si>
  <si>
    <t>RENNES I</t>
  </si>
  <si>
    <t>0350937D</t>
  </si>
  <si>
    <t>RENNES II</t>
  </si>
  <si>
    <t>0761904G</t>
  </si>
  <si>
    <t>ROUEN</t>
  </si>
  <si>
    <t>0421095M</t>
  </si>
  <si>
    <t>SAINT-ETIENNE</t>
  </si>
  <si>
    <t>0632033T</t>
  </si>
  <si>
    <t>SIGMA CLERMONT</t>
  </si>
  <si>
    <t>0673021V</t>
  </si>
  <si>
    <t>STRASBOURG</t>
  </si>
  <si>
    <t>RCE (F) 2009</t>
  </si>
  <si>
    <t>0830766G</t>
  </si>
  <si>
    <t>TOULON</t>
  </si>
  <si>
    <t>0311382J</t>
  </si>
  <si>
    <t>TOULOUSE I</t>
  </si>
  <si>
    <t>0311383K</t>
  </si>
  <si>
    <t>TOULOUSE II</t>
  </si>
  <si>
    <t>0311384L</t>
  </si>
  <si>
    <t>TOULOUSE III</t>
  </si>
  <si>
    <t>0370800U</t>
  </si>
  <si>
    <t>TOURS</t>
  </si>
  <si>
    <t>0900424X</t>
  </si>
  <si>
    <t>UT BELFORT-MONTBELIARD</t>
  </si>
  <si>
    <t>0601223D</t>
  </si>
  <si>
    <t>UT COMPIEGNE</t>
  </si>
  <si>
    <t>0750736T</t>
  </si>
  <si>
    <t>UT PARIS DAUPHINE</t>
  </si>
  <si>
    <t>0101060Y</t>
  </si>
  <si>
    <t>UT TROYES</t>
  </si>
  <si>
    <t>0593279U</t>
  </si>
  <si>
    <t>VALENCIENNES</t>
  </si>
  <si>
    <t>0781944P</t>
  </si>
  <si>
    <t>VERSAILLES-SAINT-QUENTIN</t>
  </si>
  <si>
    <t>0130221V</t>
  </si>
  <si>
    <t>IEP AIX EN PROVENCE</t>
  </si>
  <si>
    <t>0250082D</t>
  </si>
  <si>
    <t>ENSMM</t>
  </si>
  <si>
    <t>0330192E</t>
  </si>
  <si>
    <t>IEP DE BORDEAUX</t>
  </si>
  <si>
    <t>0333232J</t>
  </si>
  <si>
    <t>INP Bordeaux</t>
  </si>
  <si>
    <t>0333178A</t>
  </si>
  <si>
    <t>COMUE Aquitaine</t>
  </si>
  <si>
    <t>0142382N</t>
  </si>
  <si>
    <t xml:space="preserve">COMUE Normandie Université </t>
  </si>
  <si>
    <t>0772428W</t>
  </si>
  <si>
    <t>CTLES</t>
  </si>
  <si>
    <t>0930603A</t>
  </si>
  <si>
    <t>SUPMECA</t>
  </si>
  <si>
    <t>0932066R</t>
  </si>
  <si>
    <t>ENS LOUIS LUMIERE</t>
  </si>
  <si>
    <t>0251985X</t>
  </si>
  <si>
    <t>COMUE Bourgogne - Franche-Comté</t>
  </si>
  <si>
    <t>0261465B</t>
  </si>
  <si>
    <t>GIP ADUDA</t>
  </si>
  <si>
    <t>0380134P</t>
  </si>
  <si>
    <t>IEP DE GRENOBLE</t>
  </si>
  <si>
    <t>0383412C</t>
  </si>
  <si>
    <t>COMUE Grenoble Alpes</t>
  </si>
  <si>
    <t>0595876S</t>
  </si>
  <si>
    <t>IEP DE LILLE</t>
  </si>
  <si>
    <t>0590338X</t>
  </si>
  <si>
    <t>ENSAIT DE ROUBAIX</t>
  </si>
  <si>
    <t>0590311T</t>
  </si>
  <si>
    <t>ENSC LILLE</t>
  </si>
  <si>
    <t>0596870X</t>
  </si>
  <si>
    <t>0690173N</t>
  </si>
  <si>
    <t>IEP DE LYON</t>
  </si>
  <si>
    <t>0420093Y</t>
  </si>
  <si>
    <t>ENI SAINT-ETIENNE</t>
  </si>
  <si>
    <t>0690192J</t>
  </si>
  <si>
    <t>INSA DE LYON</t>
  </si>
  <si>
    <t>0694094A</t>
  </si>
  <si>
    <t>COMUE Lyon</t>
  </si>
  <si>
    <t>0692459Y</t>
  </si>
  <si>
    <t>ENSSIB</t>
  </si>
  <si>
    <t>9760358K</t>
  </si>
  <si>
    <t>CUFR MAYOTTE</t>
  </si>
  <si>
    <t>0342255S</t>
  </si>
  <si>
    <t>COMUE Languedoc-Roussillon</t>
  </si>
  <si>
    <t>0062126D</t>
  </si>
  <si>
    <t>0060099A</t>
  </si>
  <si>
    <t>OBSERVATOIRE DE LA COTE D'AZUR</t>
  </si>
  <si>
    <t>0755581J</t>
  </si>
  <si>
    <t>COMUE heSam</t>
  </si>
  <si>
    <t>0755700N</t>
  </si>
  <si>
    <t>COMUE PSL Paris Sciences et Lettres</t>
  </si>
  <si>
    <t>0755598C</t>
  </si>
  <si>
    <t>COMUE Sorbonne Paris Cité (SPC)</t>
  </si>
  <si>
    <t>0753478Y</t>
  </si>
  <si>
    <t>ECOLE NATIONALE DES CHARTES</t>
  </si>
  <si>
    <t>0753364Z</t>
  </si>
  <si>
    <t>IAE</t>
  </si>
  <si>
    <t>0753488J</t>
  </si>
  <si>
    <t>INALCO PARIS</t>
  </si>
  <si>
    <t>0753428U</t>
  </si>
  <si>
    <t>IPG PARIS</t>
  </si>
  <si>
    <t>0753496T</t>
  </si>
  <si>
    <t>OBSERVATOIRE DE PARIS</t>
  </si>
  <si>
    <t>0861420B</t>
  </si>
  <si>
    <t>COMUE Léonard de Vinci</t>
  </si>
  <si>
    <t>0352317D</t>
  </si>
  <si>
    <t>IEP DE RENNES</t>
  </si>
  <si>
    <t>0290119X</t>
  </si>
  <si>
    <t>ENI BREST</t>
  </si>
  <si>
    <t>0352756F</t>
  </si>
  <si>
    <t>COMUE Bretagne-Loire</t>
  </si>
  <si>
    <t>0671451N</t>
  </si>
  <si>
    <t>BNU DE STRASBOURG</t>
  </si>
  <si>
    <t>0811293R</t>
  </si>
  <si>
    <t>INU JEAN-FRANÇOIS CHAMPOLLION</t>
  </si>
  <si>
    <t>0310133B</t>
  </si>
  <si>
    <t>IEP DE TOULOUSE</t>
  </si>
  <si>
    <t>0312758E</t>
  </si>
  <si>
    <t>COMUE Toulouse</t>
  </si>
  <si>
    <t>1340004B</t>
  </si>
  <si>
    <t>ECOLE FRANCAISE CASA DE VELAZQUEZ</t>
  </si>
  <si>
    <t>1260001S</t>
  </si>
  <si>
    <t>ECOLE FRANCAISE D'ATHENES</t>
  </si>
  <si>
    <t>1270009V</t>
  </si>
  <si>
    <t>ECOLE FRANCAISE DE ROME</t>
  </si>
  <si>
    <t>0751794T</t>
  </si>
  <si>
    <t>ECOLE FRANCAISE D'EXTREME ORIENT</t>
  </si>
  <si>
    <t>3010001R</t>
  </si>
  <si>
    <t>IFAO DU CAIRE</t>
  </si>
  <si>
    <t>0693735K</t>
  </si>
  <si>
    <t>ENSATT</t>
  </si>
  <si>
    <t>0341920C</t>
  </si>
  <si>
    <t>ABES</t>
  </si>
  <si>
    <t>0342032Z</t>
  </si>
  <si>
    <t>CINES</t>
  </si>
  <si>
    <t>0752744A</t>
  </si>
  <si>
    <t>ASOM PARIS</t>
  </si>
  <si>
    <t>0755449R</t>
  </si>
  <si>
    <t>EPMQB</t>
  </si>
  <si>
    <t>0755353L</t>
  </si>
  <si>
    <t>GIP AMUE</t>
  </si>
  <si>
    <t>0755354M</t>
  </si>
  <si>
    <t>GIP RENATER</t>
  </si>
  <si>
    <t>0752183R</t>
  </si>
  <si>
    <t>FNSP-IEP PARIS</t>
  </si>
  <si>
    <t>0754937J</t>
  </si>
  <si>
    <t>EPAURIF</t>
  </si>
  <si>
    <t>0755026F</t>
  </si>
  <si>
    <t>INHA</t>
  </si>
  <si>
    <t>0753655R</t>
  </si>
  <si>
    <t>MSH PARIS</t>
  </si>
  <si>
    <t>0753494R</t>
  </si>
  <si>
    <t>0951376E</t>
  </si>
  <si>
    <t>ENSEA DE CERGY</t>
  </si>
  <si>
    <t>0952198Y</t>
  </si>
  <si>
    <t>COMUE IPGP</t>
  </si>
  <si>
    <t>0912330N</t>
  </si>
  <si>
    <t>COMUE Paris Saclay</t>
  </si>
  <si>
    <t>0952199Z</t>
  </si>
  <si>
    <t>COMUE Paris Seine</t>
  </si>
  <si>
    <t>0922605G</t>
  </si>
  <si>
    <t>INSHEA</t>
  </si>
  <si>
    <t>0753465J</t>
  </si>
  <si>
    <t>AGROPARISTECH</t>
  </si>
  <si>
    <t>075XXXAE</t>
  </si>
  <si>
    <t>Campus France</t>
  </si>
  <si>
    <t>0753501Y</t>
  </si>
  <si>
    <t>ENPC PARIS</t>
  </si>
  <si>
    <t>0755040W</t>
  </si>
  <si>
    <t>GIP BULAC</t>
  </si>
  <si>
    <t>0333092G</t>
  </si>
  <si>
    <t>GIP ERASMUS FRANCE</t>
  </si>
  <si>
    <t>GIP FUN MOOC</t>
  </si>
  <si>
    <t>0312760G</t>
  </si>
  <si>
    <t>ISAE (SUPAERO)</t>
  </si>
  <si>
    <t>0442005H</t>
  </si>
  <si>
    <t>MINES NANTES</t>
  </si>
  <si>
    <t>0753493P</t>
  </si>
  <si>
    <t>MINES PARISTECH</t>
  </si>
  <si>
    <t>0342222F</t>
  </si>
  <si>
    <t>MONTPELLIER SUPAGRO</t>
  </si>
  <si>
    <t>0753510H</t>
  </si>
  <si>
    <t>TELECOM PARIS</t>
  </si>
  <si>
    <t>0910725U</t>
  </si>
  <si>
    <t>IOTA</t>
  </si>
  <si>
    <t>0212198A</t>
  </si>
  <si>
    <t>AGROSUP DIJON</t>
  </si>
  <si>
    <t>UAI</t>
  </si>
  <si>
    <t>LIBELLE</t>
  </si>
  <si>
    <t>RCE</t>
  </si>
  <si>
    <t xml:space="preserve">CLERMONT-FERRAND </t>
  </si>
  <si>
    <t>Académie</t>
  </si>
  <si>
    <t>Santé</t>
  </si>
  <si>
    <t>Hors santé</t>
  </si>
  <si>
    <t>Surnombre</t>
  </si>
  <si>
    <t>Ajus-divers</t>
  </si>
  <si>
    <t>EAP 2016</t>
  </si>
  <si>
    <t xml:space="preserve">Compensations au titre de la mise en œuvre du  PPCR et de la hausse du point d'indice </t>
  </si>
  <si>
    <t>VP</t>
  </si>
  <si>
    <t>PPCR</t>
  </si>
  <si>
    <t>MNHN</t>
  </si>
  <si>
    <t>Total :</t>
  </si>
  <si>
    <t>Masse salariale</t>
  </si>
  <si>
    <t>Fonctionnement</t>
  </si>
  <si>
    <r>
      <t>CAS Pensions : néo-titularisation "</t>
    </r>
    <r>
      <rPr>
        <b/>
        <i/>
        <sz val="14"/>
        <color theme="0"/>
        <rFont val="Calibri"/>
        <family val="2"/>
        <scheme val="minor"/>
      </rPr>
      <t>Sauvadet</t>
    </r>
    <r>
      <rPr>
        <b/>
        <sz val="14"/>
        <color theme="0"/>
        <rFont val="Calibri"/>
        <family val="2"/>
        <scheme val="minor"/>
      </rPr>
      <t>"</t>
    </r>
  </si>
  <si>
    <t xml:space="preserve">AIX-MARSEILLE </t>
  </si>
  <si>
    <t/>
  </si>
  <si>
    <t xml:space="preserve">AMIENS </t>
  </si>
  <si>
    <t xml:space="preserve">BESANCON </t>
  </si>
  <si>
    <t xml:space="preserve">BORDEAUX </t>
  </si>
  <si>
    <t xml:space="preserve">CAEN </t>
  </si>
  <si>
    <t xml:space="preserve">CORSE </t>
  </si>
  <si>
    <t xml:space="preserve">CRETEIL </t>
  </si>
  <si>
    <t xml:space="preserve">DIJON </t>
  </si>
  <si>
    <t xml:space="preserve">GRENOBLE </t>
  </si>
  <si>
    <t xml:space="preserve">GUADELOUPE </t>
  </si>
  <si>
    <t xml:space="preserve">GUYANE </t>
  </si>
  <si>
    <t xml:space="preserve">LA REUNION </t>
  </si>
  <si>
    <t xml:space="preserve">LILLE </t>
  </si>
  <si>
    <t xml:space="preserve">LIMOGES </t>
  </si>
  <si>
    <t xml:space="preserve">LYON </t>
  </si>
  <si>
    <t xml:space="preserve">MAYOTTE </t>
  </si>
  <si>
    <t xml:space="preserve">MONTPELLIER </t>
  </si>
  <si>
    <t xml:space="preserve">NANCY-METZ </t>
  </si>
  <si>
    <t xml:space="preserve">NANTES </t>
  </si>
  <si>
    <t xml:space="preserve">NICE </t>
  </si>
  <si>
    <t xml:space="preserve">ORLEANS-TOURS </t>
  </si>
  <si>
    <t xml:space="preserve">PARIS </t>
  </si>
  <si>
    <t xml:space="preserve">POITIERS </t>
  </si>
  <si>
    <t xml:space="preserve">REIMS </t>
  </si>
  <si>
    <t xml:space="preserve">RENNES </t>
  </si>
  <si>
    <t xml:space="preserve">ROUEN </t>
  </si>
  <si>
    <t xml:space="preserve">STRASBOURG </t>
  </si>
  <si>
    <t xml:space="preserve">TOULOUSE </t>
  </si>
  <si>
    <t xml:space="preserve">TUTELLE MESR - ETRANGER </t>
  </si>
  <si>
    <t xml:space="preserve">TUTELLE MESR - LYON </t>
  </si>
  <si>
    <t xml:space="preserve">TUTELLE MESR - MONTPELLIER </t>
  </si>
  <si>
    <t xml:space="preserve">TUTELLE MESR - PARIS </t>
  </si>
  <si>
    <t xml:space="preserve">TUTELLE MESR - RENNES </t>
  </si>
  <si>
    <t xml:space="preserve">VERSAILLES </t>
  </si>
  <si>
    <t xml:space="preserve">HORS TUTELLE </t>
  </si>
  <si>
    <t xml:space="preserve">TUTELLE MESR - POLYNESIE FRANCAISE </t>
  </si>
  <si>
    <t xml:space="preserve">TUTELLE MESR - NOUVELLE CALEDONIE </t>
  </si>
  <si>
    <t>Compensation des droits d'incriptions  des étudiants boursiers</t>
  </si>
  <si>
    <t>0755850B</t>
  </si>
  <si>
    <t>Total P150 et P231</t>
  </si>
  <si>
    <t>CHANCELLERIES</t>
  </si>
  <si>
    <t>TOUTES</t>
  </si>
  <si>
    <t>immobilier (norme sécurité, accessibilités handicap, loyers, dévolution (3), op. MNHN (inv)</t>
  </si>
  <si>
    <t>Moyens nouveaux 2018 dont la répartition est présentée au CNESER</t>
  </si>
  <si>
    <t>Subvention pour charges de service public 2018</t>
  </si>
  <si>
    <t>EAP des créations d'emplois 2017 sur 2018</t>
  </si>
  <si>
    <t>Dotation GVT</t>
  </si>
  <si>
    <t>LILLE</t>
  </si>
  <si>
    <t>RCE (F) 2018</t>
  </si>
  <si>
    <t>Mise en réserve (reconduction 2017)</t>
  </si>
  <si>
    <t>Compensation des droits d'incriptions  des fonctionnaires stagiaires en ESPE (Rentrée 2017)</t>
  </si>
  <si>
    <t>SORBONNE UNIVERSITE</t>
  </si>
  <si>
    <t>RCE 2018</t>
  </si>
  <si>
    <t>COMUE Lille Nord de France</t>
  </si>
  <si>
    <t>ARTOIS</t>
  </si>
  <si>
    <t>COMUE Nice Côte d'Azur</t>
  </si>
  <si>
    <t>COMUE Centre Val de Loire</t>
  </si>
  <si>
    <t>Annexe - répartition des moyens 2018 par établissement</t>
  </si>
  <si>
    <t>DGESIP B2-2, CNESER du 14 décembre 2017, en euros</t>
  </si>
  <si>
    <t>0597065J</t>
  </si>
  <si>
    <t>0755890V</t>
  </si>
  <si>
    <t>Actualisations diverses : PUPH en surnombre, personnels de santé, astronomes et physiciens, ..)</t>
  </si>
  <si>
    <t>Compensation des droits d'incriptions  des étudiants boursiers ou stagiaires ESPE</t>
  </si>
  <si>
    <t>Création de 80 CCMG dans le cadre de la grande conférence de santé</t>
  </si>
  <si>
    <t xml:space="preserve">TUTELLE MESRI - ETRANGER </t>
  </si>
  <si>
    <t xml:space="preserve">TUTELLE MESRI - MONTPELLIER </t>
  </si>
  <si>
    <t xml:space="preserve">TUTELLE MESRI - PARIS </t>
  </si>
  <si>
    <t xml:space="preserve">TUTELLE MESRI - RENNES </t>
  </si>
  <si>
    <t xml:space="preserve">TUTELLE MESRI - NOUVELLE CALEDONIE </t>
  </si>
  <si>
    <t xml:space="preserve">TUTELLE MESRI - POLYNESIE FRANCAISE </t>
  </si>
  <si>
    <t>TOTAL</t>
  </si>
  <si>
    <t>TUTELLE MESRI - VERSAILLES</t>
  </si>
  <si>
    <t>TUTELLE MESRI - LYON</t>
  </si>
  <si>
    <t>- Université de Clermont : 6 935 000 €</t>
  </si>
  <si>
    <t>- Université de Poiriers 10 800 000 €</t>
  </si>
  <si>
    <t>- Université Toulouse 1 : 5 000 000 €.</t>
  </si>
  <si>
    <t>CNESER du 14 décembre 2017, en euros</t>
  </si>
  <si>
    <t>0755661W</t>
  </si>
  <si>
    <t>0442674T</t>
  </si>
  <si>
    <t xml:space="preserve">
LIBELLE</t>
  </si>
  <si>
    <t>Colonne10</t>
  </si>
  <si>
    <t>Colonne11</t>
  </si>
  <si>
    <t>Total</t>
  </si>
  <si>
    <t xml:space="preserve">
ACADEMIE</t>
  </si>
  <si>
    <t>Compensation
de la mise en œuvre 
du  PPCR</t>
  </si>
  <si>
    <t>0751878J</t>
  </si>
  <si>
    <t>0932560C</t>
  </si>
  <si>
    <t>0755976N</t>
  </si>
  <si>
    <t>Côte d'Azur</t>
  </si>
  <si>
    <t>0597132G</t>
  </si>
  <si>
    <t>IRD</t>
  </si>
  <si>
    <t>CAMPUS</t>
  </si>
  <si>
    <t>Répartition des moyens 2021</t>
  </si>
  <si>
    <t>TOTAL P.150</t>
  </si>
  <si>
    <t>TOTAL Plan de relance (P.363 et P.364)</t>
  </si>
  <si>
    <t>TOTAL SCSP 2021</t>
  </si>
  <si>
    <t xml:space="preserve">Actions d'accompagnement </t>
  </si>
  <si>
    <t>Immobilier (sécurité, accessibilité, loyers, dévolution, Epaurif)</t>
  </si>
  <si>
    <t>Réforme des études de santé
EAP 2021</t>
  </si>
  <si>
    <t>TUTELLE MESRI</t>
  </si>
  <si>
    <t>GUADELOUPE</t>
  </si>
  <si>
    <t>BESANCON</t>
  </si>
  <si>
    <t>RENNES</t>
  </si>
  <si>
    <t>NORMANDIE</t>
  </si>
  <si>
    <t>CENTRALE LILLE INSTITUT</t>
  </si>
  <si>
    <t>0597139P</t>
  </si>
  <si>
    <t>GRENOBLE</t>
  </si>
  <si>
    <t>CLERMONT AUVERGNE</t>
  </si>
  <si>
    <t>CLERMONT-FERRAND</t>
  </si>
  <si>
    <t>ComUE Lyon</t>
  </si>
  <si>
    <t>LYON</t>
  </si>
  <si>
    <t>ComUE Normandie Université</t>
  </si>
  <si>
    <t>ComUE Toulouse</t>
  </si>
  <si>
    <t>TOULOUSE</t>
  </si>
  <si>
    <t>CORSE</t>
  </si>
  <si>
    <t>COTE D'AZUR</t>
  </si>
  <si>
    <t>0062205P</t>
  </si>
  <si>
    <t>MAYOTTE</t>
  </si>
  <si>
    <t>CY CERGY PARIS</t>
  </si>
  <si>
    <t>0952259P</t>
  </si>
  <si>
    <t>VERSAILLES</t>
  </si>
  <si>
    <t>PARIS</t>
  </si>
  <si>
    <t>CRÉTEIL</t>
  </si>
  <si>
    <t>ENS PARIS-SACLAY</t>
  </si>
  <si>
    <t>ENSAIT ROUBAIX</t>
  </si>
  <si>
    <t>ENSEA CERGY</t>
  </si>
  <si>
    <t>FMSH</t>
  </si>
  <si>
    <t>FNSP</t>
  </si>
  <si>
    <t>0383546Y</t>
  </si>
  <si>
    <t>GUSTAVE EIFFEL</t>
  </si>
  <si>
    <t>0772894C</t>
  </si>
  <si>
    <t>IAE PARIS</t>
  </si>
  <si>
    <t>INALCO</t>
  </si>
  <si>
    <t>INP BORDEAUX</t>
  </si>
  <si>
    <t>ORLÉANS-TOURS</t>
  </si>
  <si>
    <t>INU JEAN-FRANCOIS CHAMPOLLION</t>
  </si>
  <si>
    <t>IPP</t>
  </si>
  <si>
    <t>0912403T</t>
  </si>
  <si>
    <t>ISAE-ENSMA POITIERS</t>
  </si>
  <si>
    <t>LA RÉUNION</t>
  </si>
  <si>
    <t>LIMOGES</t>
  </si>
  <si>
    <t>NANCY-METZ</t>
  </si>
  <si>
    <t>MUSEUM NATIONAL D'HISTOIRE NATURELLE</t>
  </si>
  <si>
    <t>NIMES</t>
  </si>
  <si>
    <t>NOUVELLE CALÉDONIE</t>
  </si>
  <si>
    <t>ONIRIS NANTES</t>
  </si>
  <si>
    <t>PARIS DAUPHINE</t>
  </si>
  <si>
    <t>PARIS-SACLAY</t>
  </si>
  <si>
    <t>0912408Y</t>
  </si>
  <si>
    <t>POLYNÉSIE FRANÇAISE</t>
  </si>
  <si>
    <t>UPHF</t>
  </si>
  <si>
    <t>Congé pour projet pédagogique 
EAP 2021</t>
  </si>
  <si>
    <t>CNRS PARIS</t>
  </si>
  <si>
    <t>0753639Y</t>
  </si>
  <si>
    <t>CAMPUS CONDORCET</t>
  </si>
  <si>
    <t>CAMPUS FRANCE</t>
  </si>
  <si>
    <t>CHANCELLERIE DE PARIS</t>
  </si>
  <si>
    <t>0752148C</t>
  </si>
  <si>
    <t>ComUE Bourgogne - Franche-Comté</t>
  </si>
  <si>
    <t>ComUE heSam</t>
  </si>
  <si>
    <t>ComUE Léonard de Vinci</t>
  </si>
  <si>
    <t>ComUE Paris Lumières</t>
  </si>
  <si>
    <t>ComUE Paris-Est</t>
  </si>
  <si>
    <t>ENSTA PARIS</t>
  </si>
  <si>
    <t>GIP ERASMUS</t>
  </si>
  <si>
    <t>IMT</t>
  </si>
  <si>
    <t>INESAAE</t>
  </si>
  <si>
    <t>INESAEE</t>
  </si>
  <si>
    <t>INSA HAUTS-DE-FRANCE</t>
  </si>
  <si>
    <t>0597131F</t>
  </si>
  <si>
    <t>0133973Y</t>
  </si>
  <si>
    <t>ISAE</t>
  </si>
  <si>
    <t>PARIS SCIENCES ET LETTRES</t>
  </si>
  <si>
    <t>0756036D</t>
  </si>
  <si>
    <t>Code UAI</t>
  </si>
  <si>
    <t>LPR - refonte indemnitaire (EC et enseignants du second degré)</t>
  </si>
  <si>
    <t>LPR 2021 - refonte indemnitaire (agents BIATSS)</t>
  </si>
  <si>
    <t>LPR 2021 - repyramidage (agents ITRF)</t>
  </si>
  <si>
    <t>AAP hybridation des formations (P.363)</t>
  </si>
  <si>
    <t>Places supplémentaires rentrée 2020 (financement année pleine 2021) (P.364)</t>
  </si>
  <si>
    <t>HORS TUTELLE</t>
  </si>
  <si>
    <t>Loi ORE
EAP 2021</t>
  </si>
  <si>
    <t>Actualisations et mesures diverses : PUPH en surnombre, personnels de santé, astronomes et physiciens, soutiens divers…</t>
  </si>
  <si>
    <t>Moyens nouveaux 2021 prénotifiés  (programme 150)</t>
  </si>
  <si>
    <t>Moyens nouveaux 2021 prénotifiés (plan de relance)</t>
  </si>
  <si>
    <t>Subvention pour charges de service public 2021 prénotifiée (tous programmes)</t>
  </si>
  <si>
    <t>en 2020</t>
  </si>
  <si>
    <t xml:space="preserve">pour un nombre d'étudiants </t>
  </si>
  <si>
    <t>nombre de places supplémentaires financées à 6000€</t>
  </si>
  <si>
    <t>GVT estimé</t>
  </si>
  <si>
    <t>TOTAL SCSP 2022</t>
  </si>
  <si>
    <t>∆ fonctionnement</t>
  </si>
  <si>
    <t xml:space="preserve">mise en réserve 2020 </t>
  </si>
  <si>
    <t>fonctionnement réel 2020</t>
  </si>
  <si>
    <t>corrigé de l'inflation</t>
  </si>
  <si>
    <t xml:space="preserve">inflation  : </t>
  </si>
  <si>
    <t>MS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</si>
</sst>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 * #,##0.00_)\ &quot;€&quot;_ ;_ * \(#,##0.00\)\ &quot;€&quot;_ ;_ * &quot;-&quot;??_)\ &quot;€&quot;_ ;_ @_ "/>
    <numFmt numFmtId="164" formatCode="_-* #,##0.00\ _€_-;\-* #,##0.00\ _€_-;_-* &quot;-&quot;??\ _€_-;_-@_-"/>
    <numFmt numFmtId="165" formatCode="_-* #,##0\ _€_-;\-* #,##0\ _€_-;_-* &quot;-&quot;??\ _€_-;_-@_-"/>
    <numFmt numFmtId="166" formatCode="_ * #,##0_)\ &quot;€&quot;_ ;_ * \(#,##0\)\ &quot;€&quot;_ ;_ * &quot;-&quot;??_)\ &quot;€&quot;_ ;_ @_ "/>
    <numFmt numFmtId="167" formatCode="_-* #,##0\ [$€-40C]_-;\-* #,##0\ [$€-40C]_-;_-* &quot;-&quot;??\ [$€-40C]_-;_-@_-"/>
    <numFmt numFmtId="168" formatCode="_ * #,##0.0_)\ &quot;€&quot;_ ;_ * \(#,##0.0\)\ &quot;€&quot;_ ;_ * &quot;-&quot;??_)\ &quot;€&quot;_ ;_ @_ "/>
    <numFmt numFmtId="169" formatCode="0.000%"/>
  </numFmts>
  <fonts count="34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22"/>
      <color theme="0"/>
      <name val="Arial Narrow"/>
      <family val="2"/>
    </font>
    <font>
      <b/>
      <sz val="14"/>
      <color theme="0"/>
      <name val="Arial Narrow"/>
      <family val="2"/>
    </font>
    <font>
      <b/>
      <sz val="20"/>
      <color theme="1"/>
      <name val="Arial Narrow"/>
      <family val="2"/>
    </font>
    <font>
      <sz val="14"/>
      <color theme="1"/>
      <name val="Arial Narrow"/>
      <family val="2"/>
    </font>
    <font>
      <sz val="14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 (Corps)"/>
    </font>
    <font>
      <sz val="26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6"/>
      <color rgb="FFFF0000"/>
      <name val="Calibri"/>
      <family val="2"/>
      <scheme val="minor"/>
    </font>
    <font>
      <sz val="22"/>
      <color theme="1"/>
      <name val="Calibri (Corps)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499984740745262"/>
        <bgColor indexed="64"/>
      </patternFill>
    </fill>
  </fills>
  <borders count="10">
    <border>
      <left/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mediumDashDot">
        <color theme="4" tint="-0.499984740745262"/>
      </right>
      <top/>
      <bottom/>
      <diagonal/>
    </border>
    <border>
      <left style="mediumDashDot">
        <color theme="4" tint="-0.499984740745262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64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6" fillId="16" borderId="0" xfId="0" applyFont="1" applyFill="1"/>
    <xf numFmtId="0" fontId="3" fillId="3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16" borderId="0" xfId="0" applyFont="1" applyFill="1" applyAlignment="1">
      <alignment horizontal="right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165" fontId="4" fillId="2" borderId="0" xfId="1" applyNumberFormat="1" applyFont="1" applyFill="1"/>
    <xf numFmtId="0" fontId="12" fillId="3" borderId="0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3" fontId="3" fillId="8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3" fillId="12" borderId="0" xfId="0" applyNumberFormat="1" applyFont="1" applyFill="1" applyAlignment="1">
      <alignment horizontal="center" vertical="center"/>
    </xf>
    <xf numFmtId="3" fontId="3" fillId="15" borderId="0" xfId="0" applyNumberFormat="1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3" fontId="3" fillId="5" borderId="0" xfId="0" applyNumberFormat="1" applyFont="1" applyFill="1" applyAlignment="1">
      <alignment horizontal="center" vertical="center"/>
    </xf>
    <xf numFmtId="3" fontId="3" fillId="14" borderId="0" xfId="0" applyNumberFormat="1" applyFont="1" applyFill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18" borderId="0" xfId="0" applyNumberFormat="1" applyFont="1" applyFill="1" applyAlignment="1">
      <alignment horizontal="center" vertical="center"/>
    </xf>
    <xf numFmtId="3" fontId="10" fillId="18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3" fontId="1" fillId="16" borderId="0" xfId="0" applyNumberFormat="1" applyFont="1" applyFill="1" applyBorder="1" applyAlignment="1">
      <alignment horizontal="center" vertical="center"/>
    </xf>
    <xf numFmtId="3" fontId="6" fillId="16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0" fontId="3" fillId="2" borderId="0" xfId="0" quotePrefix="1" applyFont="1" applyFill="1" applyAlignment="1">
      <alignment vertical="center"/>
    </xf>
    <xf numFmtId="0" fontId="0" fillId="17" borderId="0" xfId="0" applyFill="1" applyAlignment="1">
      <alignment vertical="center"/>
    </xf>
    <xf numFmtId="0" fontId="9" fillId="17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13" fillId="2" borderId="0" xfId="0" applyFont="1" applyFill="1"/>
    <xf numFmtId="0" fontId="15" fillId="4" borderId="0" xfId="0" applyFont="1" applyFill="1" applyBorder="1" applyAlignment="1" applyProtection="1">
      <alignment horizontal="center" vertical="center" wrapText="1"/>
      <protection locked="0"/>
    </xf>
    <xf numFmtId="0" fontId="15" fillId="4" borderId="3" xfId="0" applyFont="1" applyFill="1" applyBorder="1" applyAlignment="1" applyProtection="1">
      <alignment horizontal="center" vertical="center" wrapText="1"/>
      <protection locked="0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3" fontId="10" fillId="0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15" fillId="20" borderId="7" xfId="0" applyFont="1" applyFill="1" applyBorder="1" applyAlignment="1">
      <alignment horizontal="center" vertical="center" wrapText="1"/>
    </xf>
    <xf numFmtId="0" fontId="15" fillId="21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3" fontId="10" fillId="18" borderId="4" xfId="0" applyNumberFormat="1" applyFont="1" applyFill="1" applyBorder="1" applyAlignment="1">
      <alignment horizontal="center" vertical="center"/>
    </xf>
    <xf numFmtId="0" fontId="15" fillId="19" borderId="8" xfId="0" applyFont="1" applyFill="1" applyBorder="1" applyAlignment="1">
      <alignment horizontal="center" vertical="center" wrapText="1"/>
    </xf>
    <xf numFmtId="0" fontId="15" fillId="10" borderId="7" xfId="0" applyFont="1" applyFill="1" applyBorder="1" applyAlignment="1">
      <alignment horizontal="center" vertical="center" wrapText="1"/>
    </xf>
    <xf numFmtId="0" fontId="15" fillId="23" borderId="4" xfId="0" applyFont="1" applyFill="1" applyBorder="1" applyAlignment="1">
      <alignment horizontal="center" vertical="center" wrapText="1"/>
    </xf>
    <xf numFmtId="0" fontId="15" fillId="24" borderId="8" xfId="0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 applyProtection="1">
      <alignment horizontal="center" vertical="center"/>
      <protection locked="0"/>
    </xf>
    <xf numFmtId="3" fontId="18" fillId="0" borderId="4" xfId="0" applyNumberFormat="1" applyFont="1" applyFill="1" applyBorder="1" applyAlignment="1">
      <alignment horizontal="center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3" fontId="20" fillId="24" borderId="4" xfId="0" applyNumberFormat="1" applyFont="1" applyFill="1" applyBorder="1" applyAlignment="1">
      <alignment horizontal="center" vertical="center"/>
    </xf>
    <xf numFmtId="3" fontId="21" fillId="24" borderId="5" xfId="0" applyNumberFormat="1" applyFont="1" applyFill="1" applyBorder="1" applyAlignment="1">
      <alignment horizontal="center" vertical="center"/>
    </xf>
    <xf numFmtId="3" fontId="20" fillId="24" borderId="2" xfId="0" applyNumberFormat="1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top"/>
    </xf>
    <xf numFmtId="3" fontId="3" fillId="0" borderId="0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165" fontId="0" fillId="0" borderId="0" xfId="1" applyNumberFormat="1" applyFont="1" applyFill="1"/>
    <xf numFmtId="10" fontId="0" fillId="0" borderId="0" xfId="3" applyNumberFormat="1" applyFont="1" applyFill="1"/>
    <xf numFmtId="166" fontId="9" fillId="0" borderId="0" xfId="2" applyNumberFormat="1" applyFont="1" applyFill="1"/>
    <xf numFmtId="167" fontId="23" fillId="0" borderId="0" xfId="2" applyNumberFormat="1" applyFont="1"/>
    <xf numFmtId="167" fontId="0" fillId="0" borderId="0" xfId="0" applyNumberFormat="1" applyFill="1"/>
    <xf numFmtId="166" fontId="0" fillId="0" borderId="0" xfId="0" applyNumberFormat="1" applyFill="1"/>
    <xf numFmtId="0" fontId="3" fillId="2" borderId="0" xfId="0" applyFont="1" applyFill="1" applyAlignment="1" applyProtection="1">
      <alignment horizontal="center"/>
      <protection locked="0"/>
    </xf>
    <xf numFmtId="1" fontId="0" fillId="0" borderId="0" xfId="0" applyNumberFormat="1" applyFill="1"/>
    <xf numFmtId="3" fontId="3" fillId="18" borderId="0" xfId="0" applyNumberFormat="1" applyFont="1" applyFill="1" applyBorder="1" applyAlignment="1">
      <alignment horizontal="center" vertical="center"/>
    </xf>
    <xf numFmtId="3" fontId="10" fillId="18" borderId="0" xfId="0" applyNumberFormat="1" applyFont="1" applyFill="1" applyBorder="1" applyAlignment="1">
      <alignment horizontal="center" vertical="center"/>
    </xf>
    <xf numFmtId="3" fontId="3" fillId="18" borderId="6" xfId="0" applyNumberFormat="1" applyFont="1" applyFill="1" applyBorder="1" applyAlignment="1">
      <alignment horizontal="center" vertical="center"/>
    </xf>
    <xf numFmtId="3" fontId="3" fillId="18" borderId="4" xfId="0" applyNumberFormat="1" applyFont="1" applyFill="1" applyBorder="1" applyAlignment="1">
      <alignment horizontal="center" vertical="center"/>
    </xf>
    <xf numFmtId="0" fontId="0" fillId="14" borderId="0" xfId="0" applyFont="1" applyFill="1" applyAlignment="1">
      <alignment horizontal="center"/>
    </xf>
    <xf numFmtId="0" fontId="3" fillId="14" borderId="0" xfId="0" applyFont="1" applyFill="1" applyAlignment="1">
      <alignment horizontal="center"/>
    </xf>
    <xf numFmtId="3" fontId="3" fillId="14" borderId="4" xfId="0" applyNumberFormat="1" applyFont="1" applyFill="1" applyBorder="1" applyAlignment="1">
      <alignment horizontal="center" vertical="center"/>
    </xf>
    <xf numFmtId="3" fontId="10" fillId="14" borderId="4" xfId="0" applyNumberFormat="1" applyFont="1" applyFill="1" applyBorder="1" applyAlignment="1">
      <alignment horizontal="center" vertical="center"/>
    </xf>
    <xf numFmtId="3" fontId="3" fillId="14" borderId="5" xfId="0" applyNumberFormat="1" applyFont="1" applyFill="1" applyBorder="1" applyAlignment="1">
      <alignment horizontal="center" vertical="center"/>
    </xf>
    <xf numFmtId="3" fontId="3" fillId="14" borderId="6" xfId="0" applyNumberFormat="1" applyFont="1" applyFill="1" applyBorder="1" applyAlignment="1">
      <alignment horizontal="center" vertical="center"/>
    </xf>
    <xf numFmtId="0" fontId="3" fillId="14" borderId="0" xfId="0" applyFont="1" applyFill="1"/>
    <xf numFmtId="0" fontId="0" fillId="14" borderId="0" xfId="0" applyFont="1" applyFill="1"/>
    <xf numFmtId="10" fontId="0" fillId="14" borderId="0" xfId="3" applyNumberFormat="1" applyFont="1" applyFill="1"/>
    <xf numFmtId="166" fontId="0" fillId="0" borderId="0" xfId="2" applyNumberFormat="1" applyFont="1" applyFill="1"/>
    <xf numFmtId="166" fontId="23" fillId="0" borderId="0" xfId="2" applyNumberFormat="1" applyFont="1"/>
    <xf numFmtId="3" fontId="3" fillId="14" borderId="0" xfId="0" applyNumberFormat="1" applyFont="1" applyFill="1" applyBorder="1" applyAlignment="1">
      <alignment horizontal="center" vertical="center"/>
    </xf>
    <xf numFmtId="3" fontId="10" fillId="14" borderId="0" xfId="0" applyNumberFormat="1" applyFont="1" applyFill="1" applyBorder="1" applyAlignment="1">
      <alignment horizontal="center" vertical="center"/>
    </xf>
    <xf numFmtId="3" fontId="3" fillId="14" borderId="3" xfId="0" applyNumberFormat="1" applyFont="1" applyFill="1" applyBorder="1" applyAlignment="1">
      <alignment horizontal="center" vertical="center"/>
    </xf>
    <xf numFmtId="3" fontId="6" fillId="25" borderId="6" xfId="0" applyNumberFormat="1" applyFont="1" applyFill="1" applyBorder="1" applyAlignment="1">
      <alignment horizontal="center" vertical="center"/>
    </xf>
    <xf numFmtId="0" fontId="15" fillId="24" borderId="7" xfId="0" applyFont="1" applyFill="1" applyBorder="1" applyAlignment="1">
      <alignment horizontal="center" vertical="center" wrapText="1"/>
    </xf>
    <xf numFmtId="3" fontId="1" fillId="13" borderId="7" xfId="0" applyNumberFormat="1" applyFont="1" applyFill="1" applyBorder="1" applyAlignment="1">
      <alignment horizontal="center" vertical="center" wrapText="1"/>
    </xf>
    <xf numFmtId="0" fontId="20" fillId="24" borderId="2" xfId="0" applyFont="1" applyFill="1" applyBorder="1" applyAlignment="1">
      <alignment horizontal="center" vertical="center"/>
    </xf>
    <xf numFmtId="3" fontId="25" fillId="18" borderId="0" xfId="0" applyNumberFormat="1" applyFont="1" applyFill="1" applyAlignment="1">
      <alignment horizontal="center" vertical="center"/>
    </xf>
    <xf numFmtId="3" fontId="27" fillId="0" borderId="0" xfId="0" applyNumberFormat="1" applyFont="1"/>
    <xf numFmtId="3" fontId="27" fillId="0" borderId="0" xfId="0" applyNumberFormat="1" applyFont="1" applyFill="1"/>
    <xf numFmtId="0" fontId="27" fillId="0" borderId="0" xfId="0" applyFont="1" applyFill="1"/>
    <xf numFmtId="0" fontId="27" fillId="0" borderId="0" xfId="0" applyFont="1" applyFill="1" applyAlignment="1">
      <alignment wrapText="1"/>
    </xf>
    <xf numFmtId="0" fontId="28" fillId="0" borderId="0" xfId="0" applyFont="1" applyFill="1" applyAlignment="1">
      <alignment wrapText="1"/>
    </xf>
    <xf numFmtId="168" fontId="29" fillId="0" borderId="0" xfId="2" applyNumberFormat="1" applyFont="1" applyFill="1"/>
    <xf numFmtId="9" fontId="27" fillId="0" borderId="0" xfId="0" applyNumberFormat="1" applyFont="1" applyFill="1"/>
    <xf numFmtId="3" fontId="30" fillId="0" borderId="0" xfId="0" applyNumberFormat="1" applyFont="1"/>
    <xf numFmtId="166" fontId="31" fillId="0" borderId="0" xfId="2" applyNumberFormat="1" applyFont="1"/>
    <xf numFmtId="166" fontId="26" fillId="0" borderId="0" xfId="0" applyNumberFormat="1" applyFont="1" applyFill="1"/>
    <xf numFmtId="166" fontId="4" fillId="0" borderId="0" xfId="0" applyNumberFormat="1" applyFont="1" applyFill="1"/>
    <xf numFmtId="169" fontId="27" fillId="0" borderId="0" xfId="3" applyNumberFormat="1" applyFont="1" applyFill="1"/>
    <xf numFmtId="165" fontId="32" fillId="0" borderId="0" xfId="1" applyNumberFormat="1" applyFont="1" applyFill="1"/>
    <xf numFmtId="10" fontId="29" fillId="0" borderId="0" xfId="3" applyNumberFormat="1" applyFont="1" applyFill="1"/>
    <xf numFmtId="3" fontId="29" fillId="0" borderId="0" xfId="0" applyNumberFormat="1" applyFont="1" applyFill="1"/>
    <xf numFmtId="10" fontId="27" fillId="0" borderId="0" xfId="3" applyNumberFormat="1" applyFont="1" applyFill="1"/>
    <xf numFmtId="0" fontId="33" fillId="0" borderId="0" xfId="0" applyFont="1" applyFill="1"/>
    <xf numFmtId="166" fontId="26" fillId="0" borderId="0" xfId="2" applyNumberFormat="1" applyFont="1"/>
    <xf numFmtId="10" fontId="26" fillId="0" borderId="0" xfId="3" applyNumberFormat="1" applyFont="1" applyFill="1"/>
    <xf numFmtId="0" fontId="2" fillId="17" borderId="0" xfId="0" applyFont="1" applyFill="1" applyAlignment="1">
      <alignment horizontal="center" vertical="center"/>
    </xf>
    <xf numFmtId="0" fontId="11" fillId="16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1" fillId="16" borderId="0" xfId="0" applyFont="1" applyFill="1" applyAlignment="1">
      <alignment horizontal="center" vertical="center"/>
    </xf>
    <xf numFmtId="0" fontId="1" fillId="16" borderId="0" xfId="0" applyFont="1" applyFill="1" applyAlignment="1">
      <alignment horizontal="center" vertical="center" wrapText="1"/>
    </xf>
    <xf numFmtId="0" fontId="1" fillId="17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justify" vertical="top" wrapText="1"/>
    </xf>
    <xf numFmtId="0" fontId="1" fillId="11" borderId="0" xfId="0" applyFont="1" applyFill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  <xf numFmtId="0" fontId="1" fillId="13" borderId="0" xfId="0" applyFont="1" applyFill="1" applyAlignment="1">
      <alignment horizontal="center" vertical="center" wrapText="1"/>
    </xf>
    <xf numFmtId="0" fontId="1" fillId="19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14" fillId="23" borderId="0" xfId="0" applyFont="1" applyFill="1" applyAlignment="1">
      <alignment horizontal="center" vertical="center"/>
    </xf>
    <xf numFmtId="3" fontId="14" fillId="22" borderId="6" xfId="0" applyNumberFormat="1" applyFont="1" applyFill="1" applyBorder="1" applyAlignment="1">
      <alignment horizontal="center" vertical="center" wrapText="1"/>
    </xf>
    <xf numFmtId="3" fontId="14" fillId="22" borderId="0" xfId="0" applyNumberFormat="1" applyFont="1" applyFill="1" applyBorder="1" applyAlignment="1">
      <alignment horizontal="center" vertical="center" wrapText="1"/>
    </xf>
    <xf numFmtId="0" fontId="0" fillId="22" borderId="5" xfId="0" applyFill="1" applyBorder="1" applyAlignment="1">
      <alignment horizontal="center" vertical="center" wrapText="1"/>
    </xf>
    <xf numFmtId="0" fontId="14" fillId="21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47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DashDot">
          <color theme="4" tint="-0.499984740745262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DashDot">
          <color theme="4" tint="-0.499984740745262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DashDot">
          <color theme="4" tint="-0.499984740745262"/>
        </right>
        <top/>
        <bottom/>
        <vertical style="mediumDashDot">
          <color theme="4" tint="-0.499984740745262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border>
        <horizontal/>
      </border>
    </dxf>
  </dxfs>
  <tableStyles count="2" defaultTableStyle="TableStyleMedium2" defaultPivotStyle="PivotStyleLight16">
    <tableStyle name="TEST" pivot="0" count="0" xr9:uid="{00000000-0011-0000-FFFF-FFFF00000000}"/>
    <tableStyle name="TEST 2" pivot="0" count="2" xr9:uid="{00000000-0011-0000-FFFF-FFFF01000000}">
      <tableStyleElement type="wholeTable" dxfId="46"/>
      <tableStyleElement type="secondRowStripe" dxfId="45"/>
    </tableStyle>
  </tableStyles>
  <colors>
    <mruColors>
      <color rgb="FF441918"/>
      <color rgb="FF2962A7"/>
      <color rgb="FFBD4441"/>
      <color rgb="FFB1403D"/>
      <color rgb="FF2E6EBC"/>
      <color rgb="FF4081D0"/>
      <color rgb="FF1E49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815066</xdr:colOff>
      <xdr:row>3</xdr:row>
      <xdr:rowOff>636815</xdr:rowOff>
    </xdr:from>
    <xdr:to>
      <xdr:col>3</xdr:col>
      <xdr:colOff>2314697</xdr:colOff>
      <xdr:row>4</xdr:row>
      <xdr:rowOff>728383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15066" y="1357994"/>
          <a:ext cx="7173810" cy="74471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5:X179" totalsRowCount="1" dataDxfId="44">
  <autoFilter ref="A5:X178" xr:uid="{00000000-0009-0000-0100-000002000000}"/>
  <sortState xmlns:xlrd2="http://schemas.microsoft.com/office/spreadsheetml/2017/richdata2" ref="A6:W178">
    <sortCondition descending="1" ref="P6:P178"/>
    <sortCondition descending="1" ref="O6:O178"/>
  </sortState>
  <tableColumns count="24">
    <tableColumn id="1" xr3:uid="{00000000-0010-0000-0000-000001000000}" name="UAI" totalsRowLabel="Total" totalsRowDxfId="23"/>
    <tableColumn id="2" xr3:uid="{00000000-0010-0000-0000-000002000000}" name="_x000a__x000a__x000a_LIBELLE" totalsRowDxfId="22"/>
    <tableColumn id="3" xr3:uid="{00000000-0010-0000-0000-000003000000}" name="Code UAI" totalsRowDxfId="21"/>
    <tableColumn id="4" xr3:uid="{00000000-0010-0000-0000-000004000000}" name="_x000a__x000a__x000a_ACADEMIE" totalsRowDxfId="20"/>
    <tableColumn id="12" xr3:uid="{00000000-0010-0000-0000-00000C000000}" name="LPR 2021 - repyramidage (agents ITRF)" totalsRowFunction="sum" dataDxfId="43" totalsRowDxfId="19"/>
    <tableColumn id="11" xr3:uid="{00000000-0010-0000-0000-00000B000000}" name="LPR 2021 - refonte indemnitaire (agents BIATSS)" totalsRowFunction="sum" dataDxfId="42" totalsRowDxfId="18"/>
    <tableColumn id="9" xr3:uid="{00000000-0010-0000-0000-000009000000}" name="LPR - refonte indemnitaire (EC et enseignants du second degré)" totalsRowFunction="sum" dataDxfId="41" totalsRowDxfId="17"/>
    <tableColumn id="14" xr3:uid="{00000000-0010-0000-0000-00000E000000}" name="Loi ORE_x000a_EAP 2021" totalsRowFunction="sum" dataDxfId="40" totalsRowDxfId="16"/>
    <tableColumn id="5" xr3:uid="{00000000-0010-0000-0000-000005000000}" name="Réforme des études de santé_x000a_EAP 2021" totalsRowFunction="sum" dataDxfId="39" totalsRowDxfId="15"/>
    <tableColumn id="38" xr3:uid="{00000000-0010-0000-0000-000026000000}" name="Actualisations et mesures diverses : PUPH en surnombre, personnels de santé, astronomes et physiciens, soutiens divers…" totalsRowFunction="sum" dataDxfId="38" totalsRowDxfId="14"/>
    <tableColumn id="29" xr3:uid="{00000000-0010-0000-0000-00001D000000}" name="Compensation_x000a_de la mise en œuvre _x000a_du  PPCR" totalsRowFunction="sum" dataDxfId="37" totalsRowDxfId="13"/>
    <tableColumn id="10" xr3:uid="{00000000-0010-0000-0000-00000A000000}" name="Congé pour projet pédagogique _x000a_EAP 2021" totalsRowFunction="sum" dataDxfId="36" totalsRowDxfId="12"/>
    <tableColumn id="20" xr3:uid="{00000000-0010-0000-0000-000014000000}" name="TOTAL P.150" totalsRowFunction="sum" dataDxfId="35" totalsRowDxfId="11">
      <calculatedColumnFormula>SUM(Tableau2[[#This Row],[LPR 2021 - repyramidage (agents ITRF)]:[Congé pour projet pédagogique 
EAP 2021]])</calculatedColumnFormula>
    </tableColumn>
    <tableColumn id="22" xr3:uid="{00000000-0010-0000-0000-000016000000}" name="Colonne10" dataDxfId="34" totalsRowDxfId="10"/>
    <tableColumn id="17" xr3:uid="{00000000-0010-0000-0000-000011000000}" name="AAP hybridation des formations (P.363)" totalsRowFunction="sum" dataDxfId="33" totalsRowDxfId="9"/>
    <tableColumn id="18" xr3:uid="{00000000-0010-0000-0000-000012000000}" name="Places supplémentaires rentrée 2020 (financement année pleine 2021) (P.364)" totalsRowFunction="sum" dataDxfId="32" totalsRowDxfId="8"/>
    <tableColumn id="8" xr3:uid="{00000000-0010-0000-0000-000008000000}" name="TOTAL Plan de relance (P.363 et P.364)" totalsRowFunction="sum" dataDxfId="31" totalsRowDxfId="7">
      <calculatedColumnFormula>Tableau2[[#This Row],[AAP hybridation des formations (P.363)]]+P6</calculatedColumnFormula>
    </tableColumn>
    <tableColumn id="23" xr3:uid="{00000000-0010-0000-0000-000017000000}" name="nombre de places supplémentaires financées à 6000€" totalsRowFunction="sum" dataDxfId="30" totalsRowDxfId="6"/>
    <tableColumn id="24" xr3:uid="{00000000-0010-0000-0000-000018000000}" name="Masse salariale" totalsRowFunction="custom" dataDxfId="29" totalsRowDxfId="5">
      <totalsRowFormula>SUM(Tableau2[Masse salariale])</totalsRowFormula>
    </tableColumn>
    <tableColumn id="25" xr3:uid="{00000000-0010-0000-0000-000019000000}" name="Fonctionnement" totalsRowFunction="custom" dataDxfId="28" totalsRowDxfId="4">
      <totalsRowFormula>SUM(Tableau2[Fonctionnement])</totalsRowFormula>
    </tableColumn>
    <tableColumn id="36" xr3:uid="{00000000-0010-0000-0000-000024000000}" name="Actions d'accompagnement " totalsRowFunction="custom" dataDxfId="27" totalsRowDxfId="3">
      <totalsRowFormula>SUM(Tableau2[Actions d''accompagnement ])</totalsRowFormula>
    </tableColumn>
    <tableColumn id="26" xr3:uid="{00000000-0010-0000-0000-00001A000000}" name="Immobilier (sécurité, accessibilité, loyers, dévolution, Epaurif)" totalsRowFunction="custom" dataDxfId="26" totalsRowDxfId="2">
      <totalsRowFormula>SUM(Tableau2[Immobilier (sécurité, accessibilité, loyers, dévolution, Epaurif)])</totalsRowFormula>
    </tableColumn>
    <tableColumn id="28" xr3:uid="{00000000-0010-0000-0000-00001C000000}" name="TOTAL SCSP 2021" totalsRowFunction="custom" dataDxfId="25" totalsRowDxfId="1">
      <calculatedColumnFormula>SUM(Tableau2[[#This Row],[Masse salariale]:[Immobilier (sécurité, accessibilité, loyers, dévolution, Epaurif)]])</calculatedColumnFormula>
      <totalsRowFormula>SUM(Tableau2[TOTAL SCSP 2021])</totalsRowFormula>
    </tableColumn>
    <tableColumn id="6" xr3:uid="{4C0CE803-0B3B-F64F-BB31-8AC5B3FE2E1F}" name="TOTAL SCSP 2022" dataDxfId="24" totalsRowDxfId="0">
      <calculatedColumnFormula>Tableau2[[#This Row],[Masse salariale]]+Tableau2[[#This Row],[Actions d''accompagnement ]]</calculatedColumnFormula>
    </tableColumn>
  </tableColumns>
  <tableStyleInfo name="TEST 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211"/>
  <sheetViews>
    <sheetView showZeros="0" view="pageBreakPreview" zoomScale="55" zoomScaleNormal="70" zoomScaleSheetLayoutView="55" workbookViewId="0">
      <selection activeCell="L30" sqref="A30:L31"/>
    </sheetView>
  </sheetViews>
  <sheetFormatPr baseColWidth="10" defaultColWidth="11.5" defaultRowHeight="15" outlineLevelCol="1"/>
  <cols>
    <col min="1" max="1" width="24.6640625" style="49" customWidth="1" outlineLevel="1"/>
    <col min="2" max="2" width="41.5" style="1" customWidth="1"/>
    <col min="3" max="3" width="14.5" style="1" customWidth="1"/>
    <col min="4" max="4" width="26.6640625" style="1" customWidth="1"/>
    <col min="5" max="5" width="1.5" style="1" customWidth="1"/>
    <col min="6" max="6" width="25.5" style="1" customWidth="1"/>
    <col min="7" max="10" width="11.5" style="1" hidden="1" customWidth="1"/>
    <col min="11" max="11" width="1.5" style="1" customWidth="1"/>
    <col min="12" max="12" width="25.5" style="1" customWidth="1"/>
    <col min="13" max="14" width="11.5" style="1" hidden="1" customWidth="1"/>
    <col min="15" max="15" width="1.5" style="1" customWidth="1"/>
    <col min="16" max="16" width="25.83203125" style="1" customWidth="1"/>
    <col min="17" max="17" width="1.5" style="1" customWidth="1"/>
    <col min="18" max="18" width="25.83203125" style="1" customWidth="1"/>
    <col min="19" max="20" width="11.5" style="1" hidden="1" customWidth="1"/>
    <col min="21" max="21" width="1.5" style="1" customWidth="1"/>
    <col min="22" max="22" width="25.83203125" style="1" customWidth="1"/>
    <col min="23" max="23" width="1.5" style="1" customWidth="1"/>
    <col min="24" max="24" width="25.83203125" style="1" customWidth="1"/>
    <col min="25" max="25" width="1.5" style="1" customWidth="1"/>
    <col min="26" max="26" width="25.83203125" style="1" customWidth="1"/>
    <col min="27" max="27" width="1.5" style="1" customWidth="1"/>
    <col min="28" max="28" width="25.83203125" style="1" customWidth="1"/>
    <col min="29" max="30" width="1.5" style="1" customWidth="1"/>
    <col min="31" max="31" width="3.33203125" style="1" customWidth="1"/>
    <col min="32" max="35" width="25.6640625" style="1" customWidth="1"/>
    <col min="36" max="36" width="1.5" style="1" customWidth="1"/>
    <col min="37" max="37" width="25.6640625" style="25" customWidth="1"/>
    <col min="38" max="38" width="11.5" style="1" customWidth="1"/>
    <col min="39" max="16384" width="11.5" style="1"/>
  </cols>
  <sheetData>
    <row r="1" spans="1:39" ht="19">
      <c r="E1" s="46" t="s">
        <v>387</v>
      </c>
    </row>
    <row r="2" spans="1:39" ht="26">
      <c r="B2" s="3" t="s">
        <v>444</v>
      </c>
      <c r="E2" s="46"/>
    </row>
    <row r="3" spans="1:39" ht="19">
      <c r="E3" s="46" t="s">
        <v>387</v>
      </c>
    </row>
    <row r="4" spans="1:39" ht="51.75" customHeight="1">
      <c r="B4" s="144" t="s">
        <v>463</v>
      </c>
      <c r="C4" s="144"/>
      <c r="D4" s="144"/>
      <c r="E4" s="46" t="s">
        <v>387</v>
      </c>
      <c r="F4" s="142" t="s">
        <v>430</v>
      </c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7"/>
      <c r="AD4" s="17"/>
      <c r="AE4" s="17"/>
      <c r="AF4" s="142" t="s">
        <v>431</v>
      </c>
      <c r="AG4" s="142"/>
      <c r="AH4" s="142"/>
      <c r="AI4" s="142"/>
      <c r="AJ4" s="142"/>
      <c r="AK4" s="142"/>
    </row>
    <row r="5" spans="1:39" ht="7.5" customHeight="1">
      <c r="E5" s="46" t="s">
        <v>387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47"/>
      <c r="AC5" s="17"/>
      <c r="AD5" s="18"/>
      <c r="AE5" s="18"/>
      <c r="AF5" s="17"/>
      <c r="AG5" s="17"/>
      <c r="AH5" s="17"/>
      <c r="AI5" s="17"/>
      <c r="AJ5" s="17"/>
      <c r="AK5" s="48"/>
    </row>
    <row r="6" spans="1:39" ht="50.25" customHeight="1">
      <c r="E6" s="46" t="s">
        <v>387</v>
      </c>
      <c r="F6" s="149" t="s">
        <v>448</v>
      </c>
      <c r="G6" s="12"/>
      <c r="H6" s="12"/>
      <c r="I6" s="12"/>
      <c r="J6" s="12"/>
      <c r="K6" s="12"/>
      <c r="L6" s="150" t="s">
        <v>433</v>
      </c>
      <c r="M6" s="12"/>
      <c r="N6" s="12"/>
      <c r="O6" s="12"/>
      <c r="P6" s="151" t="s">
        <v>432</v>
      </c>
      <c r="Q6" s="12"/>
      <c r="R6" s="153" t="s">
        <v>378</v>
      </c>
      <c r="S6" s="12"/>
      <c r="T6" s="12"/>
      <c r="U6" s="12"/>
      <c r="V6" s="154" t="s">
        <v>385</v>
      </c>
      <c r="W6" s="12"/>
      <c r="X6" s="155" t="s">
        <v>450</v>
      </c>
      <c r="Y6" s="12"/>
      <c r="Z6" s="156" t="s">
        <v>449</v>
      </c>
      <c r="AA6" s="12"/>
      <c r="AB6" s="147" t="s">
        <v>457</v>
      </c>
      <c r="AC6" s="12"/>
      <c r="AD6" s="13"/>
      <c r="AE6" s="12"/>
      <c r="AF6" s="145" t="s">
        <v>383</v>
      </c>
      <c r="AG6" s="145" t="s">
        <v>384</v>
      </c>
      <c r="AH6" s="143" t="s">
        <v>429</v>
      </c>
      <c r="AI6" s="146" t="s">
        <v>436</v>
      </c>
      <c r="AJ6" s="12"/>
      <c r="AK6" s="147" t="s">
        <v>426</v>
      </c>
    </row>
    <row r="7" spans="1:39" s="2" customFormat="1" ht="81.75" customHeight="1">
      <c r="A7" s="50" t="s">
        <v>368</v>
      </c>
      <c r="B7" s="5" t="s">
        <v>369</v>
      </c>
      <c r="C7" s="5" t="s">
        <v>370</v>
      </c>
      <c r="D7" s="5" t="s">
        <v>372</v>
      </c>
      <c r="E7" s="46" t="s">
        <v>387</v>
      </c>
      <c r="F7" s="149"/>
      <c r="G7" s="12" t="s">
        <v>373</v>
      </c>
      <c r="H7" s="12" t="s">
        <v>374</v>
      </c>
      <c r="I7" s="12" t="s">
        <v>375</v>
      </c>
      <c r="J7" s="12" t="s">
        <v>376</v>
      </c>
      <c r="K7" s="12"/>
      <c r="L7" s="150"/>
      <c r="M7" s="12" t="s">
        <v>377</v>
      </c>
      <c r="N7" s="12"/>
      <c r="O7" s="12"/>
      <c r="P7" s="152"/>
      <c r="Q7" s="12"/>
      <c r="R7" s="153"/>
      <c r="S7" s="16" t="s">
        <v>379</v>
      </c>
      <c r="T7" s="16" t="s">
        <v>380</v>
      </c>
      <c r="U7" s="12"/>
      <c r="V7" s="154"/>
      <c r="W7" s="12"/>
      <c r="X7" s="155"/>
      <c r="Y7" s="12"/>
      <c r="Z7" s="156"/>
      <c r="AA7" s="12"/>
      <c r="AB7" s="147"/>
      <c r="AC7" s="12"/>
      <c r="AD7" s="13"/>
      <c r="AE7" s="12"/>
      <c r="AF7" s="145"/>
      <c r="AG7" s="145"/>
      <c r="AH7" s="143"/>
      <c r="AI7" s="146"/>
      <c r="AJ7" s="12"/>
      <c r="AK7" s="147"/>
    </row>
    <row r="8" spans="1:39" s="2" customFormat="1" ht="7.5" customHeight="1">
      <c r="A8" s="50"/>
      <c r="B8" s="20"/>
      <c r="C8" s="20"/>
      <c r="D8" s="20"/>
      <c r="E8" s="46" t="s">
        <v>387</v>
      </c>
      <c r="F8" s="21"/>
      <c r="G8" s="12"/>
      <c r="H8" s="12"/>
      <c r="I8" s="12"/>
      <c r="J8" s="12"/>
      <c r="K8" s="12"/>
      <c r="L8" s="21"/>
      <c r="M8" s="12"/>
      <c r="N8" s="12"/>
      <c r="O8" s="12"/>
      <c r="P8" s="22"/>
      <c r="Q8" s="12"/>
      <c r="R8" s="21"/>
      <c r="S8" s="16"/>
      <c r="T8" s="16"/>
      <c r="U8" s="12"/>
      <c r="V8" s="21"/>
      <c r="W8" s="12"/>
      <c r="X8" s="21"/>
      <c r="Y8" s="12"/>
      <c r="Z8" s="21"/>
      <c r="AA8" s="12"/>
      <c r="AB8" s="21"/>
      <c r="AC8" s="12"/>
      <c r="AD8" s="13"/>
      <c r="AE8" s="12"/>
      <c r="AF8" s="23"/>
      <c r="AG8" s="23"/>
      <c r="AH8" s="23"/>
      <c r="AI8" s="23"/>
      <c r="AJ8" s="12"/>
      <c r="AK8" s="23"/>
    </row>
    <row r="9" spans="1:39" s="2" customFormat="1" ht="23.25" customHeight="1">
      <c r="A9" s="51" t="s">
        <v>0</v>
      </c>
      <c r="B9" s="11" t="s">
        <v>1</v>
      </c>
      <c r="C9" s="28" t="s">
        <v>2</v>
      </c>
      <c r="D9" s="11" t="s">
        <v>386</v>
      </c>
      <c r="E9" s="46" t="s">
        <v>387</v>
      </c>
      <c r="F9" s="30">
        <v>-435675.56000000238</v>
      </c>
      <c r="G9" s="31">
        <v>31348.487113758281</v>
      </c>
      <c r="H9" s="31">
        <v>-112934.87567248649</v>
      </c>
      <c r="I9" s="31">
        <v>-706666</v>
      </c>
      <c r="J9" s="31">
        <v>-42258.354800000001</v>
      </c>
      <c r="K9" s="32"/>
      <c r="L9" s="36">
        <v>2104794</v>
      </c>
      <c r="M9" s="31">
        <v>384202</v>
      </c>
      <c r="N9" s="31">
        <v>427336</v>
      </c>
      <c r="O9" s="31"/>
      <c r="P9" s="33">
        <v>478304</v>
      </c>
      <c r="Q9" s="31"/>
      <c r="R9" s="35">
        <v>735315</v>
      </c>
      <c r="S9" s="31">
        <v>3586241</v>
      </c>
      <c r="T9" s="31">
        <v>735008.44371687865</v>
      </c>
      <c r="U9" s="31"/>
      <c r="V9" s="34">
        <v>0</v>
      </c>
      <c r="W9" s="31"/>
      <c r="X9" s="36">
        <v>73077</v>
      </c>
      <c r="Y9" s="31"/>
      <c r="Z9" s="37">
        <v>246654</v>
      </c>
      <c r="AA9" s="31"/>
      <c r="AB9" s="40">
        <f>SUM(Z9,X9,V9,R9,P9,L9,F9)</f>
        <v>3202468.4399999976</v>
      </c>
      <c r="AC9" s="31"/>
      <c r="AD9" s="38"/>
      <c r="AE9" s="31"/>
      <c r="AF9" s="39"/>
      <c r="AG9" s="39"/>
      <c r="AH9" s="39"/>
      <c r="AI9" s="39">
        <v>-2926428</v>
      </c>
      <c r="AJ9" s="31"/>
      <c r="AK9" s="40">
        <f t="shared" ref="AK9:AK40" si="0">SUM(AF9:AI9)</f>
        <v>-2926428</v>
      </c>
    </row>
    <row r="10" spans="1:39" s="2" customFormat="1" ht="23.25" customHeight="1">
      <c r="A10" s="51" t="s">
        <v>13</v>
      </c>
      <c r="B10" s="14" t="s">
        <v>14</v>
      </c>
      <c r="C10" s="29" t="s">
        <v>8</v>
      </c>
      <c r="D10" s="15" t="s">
        <v>386</v>
      </c>
      <c r="E10" s="46" t="s">
        <v>387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/>
      <c r="L10" s="31">
        <v>192538</v>
      </c>
      <c r="M10" s="31">
        <v>118216</v>
      </c>
      <c r="N10" s="31">
        <v>152620</v>
      </c>
      <c r="O10" s="31"/>
      <c r="P10" s="31">
        <v>149470</v>
      </c>
      <c r="Q10" s="31"/>
      <c r="R10" s="31">
        <v>68328</v>
      </c>
      <c r="S10" s="31">
        <v>342423</v>
      </c>
      <c r="T10" s="31">
        <v>69598.1040303802</v>
      </c>
      <c r="U10" s="31"/>
      <c r="V10" s="31">
        <v>30310</v>
      </c>
      <c r="W10" s="31"/>
      <c r="X10" s="31">
        <v>0</v>
      </c>
      <c r="Y10" s="31"/>
      <c r="Z10" s="31">
        <v>9840</v>
      </c>
      <c r="AA10" s="31"/>
      <c r="AB10" s="41">
        <f t="shared" ref="AB10:AB70" si="1">SUM(Z10,X10,V10,R10,P10,L10,F10)</f>
        <v>450486</v>
      </c>
      <c r="AC10" s="31"/>
      <c r="AD10" s="38"/>
      <c r="AE10" s="31"/>
      <c r="AF10" s="31"/>
      <c r="AG10" s="31"/>
      <c r="AH10" s="31">
        <v>100000</v>
      </c>
      <c r="AI10" s="31">
        <v>-318843</v>
      </c>
      <c r="AJ10" s="31"/>
      <c r="AK10" s="41">
        <f t="shared" si="0"/>
        <v>-218843</v>
      </c>
    </row>
    <row r="11" spans="1:39" s="2" customFormat="1" ht="23.25" customHeight="1">
      <c r="A11" s="51" t="s">
        <v>57</v>
      </c>
      <c r="B11" s="11" t="s">
        <v>58</v>
      </c>
      <c r="C11" s="28" t="s">
        <v>59</v>
      </c>
      <c r="D11" s="11" t="s">
        <v>386</v>
      </c>
      <c r="E11" s="46" t="s">
        <v>387</v>
      </c>
      <c r="F11" s="30">
        <v>0</v>
      </c>
      <c r="G11" s="31">
        <v>0</v>
      </c>
      <c r="H11" s="31">
        <v>0</v>
      </c>
      <c r="I11" s="31">
        <v>0</v>
      </c>
      <c r="J11" s="31">
        <v>0</v>
      </c>
      <c r="K11" s="32"/>
      <c r="L11" s="36">
        <v>67592</v>
      </c>
      <c r="M11" s="31">
        <v>177324</v>
      </c>
      <c r="N11" s="31">
        <v>183144</v>
      </c>
      <c r="O11" s="31"/>
      <c r="P11" s="33">
        <v>179364</v>
      </c>
      <c r="Q11" s="31"/>
      <c r="R11" s="35">
        <v>23802</v>
      </c>
      <c r="S11" s="31">
        <v>95211</v>
      </c>
      <c r="T11" s="31">
        <v>11445.260885046759</v>
      </c>
      <c r="U11" s="31"/>
      <c r="V11" s="34">
        <v>0</v>
      </c>
      <c r="W11" s="31"/>
      <c r="X11" s="36">
        <v>0</v>
      </c>
      <c r="Y11" s="31"/>
      <c r="Z11" s="37">
        <v>7320</v>
      </c>
      <c r="AA11" s="31"/>
      <c r="AB11" s="40">
        <f t="shared" si="1"/>
        <v>278078</v>
      </c>
      <c r="AC11" s="31"/>
      <c r="AD11" s="38"/>
      <c r="AE11" s="31"/>
      <c r="AF11" s="39"/>
      <c r="AG11" s="39"/>
      <c r="AH11" s="39"/>
      <c r="AI11" s="39">
        <v>-54614</v>
      </c>
      <c r="AJ11" s="31"/>
      <c r="AK11" s="40">
        <f t="shared" si="0"/>
        <v>-54614</v>
      </c>
    </row>
    <row r="12" spans="1:39" s="2" customFormat="1" ht="23.25" customHeight="1">
      <c r="A12" s="51" t="s">
        <v>218</v>
      </c>
      <c r="B12" s="14" t="s">
        <v>219</v>
      </c>
      <c r="C12" s="29" t="s">
        <v>28</v>
      </c>
      <c r="D12" s="15" t="s">
        <v>386</v>
      </c>
      <c r="E12" s="46" t="s">
        <v>387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/>
      <c r="L12" s="31">
        <v>0</v>
      </c>
      <c r="M12" s="31" t="s">
        <v>387</v>
      </c>
      <c r="N12" s="31">
        <v>0</v>
      </c>
      <c r="O12" s="31"/>
      <c r="P12" s="31">
        <v>0</v>
      </c>
      <c r="Q12" s="31"/>
      <c r="R12" s="31">
        <v>501</v>
      </c>
      <c r="S12" s="31">
        <v>8466</v>
      </c>
      <c r="T12" s="31">
        <v>0</v>
      </c>
      <c r="U12" s="31"/>
      <c r="V12" s="31">
        <v>0</v>
      </c>
      <c r="W12" s="31"/>
      <c r="X12" s="31">
        <v>0</v>
      </c>
      <c r="Y12" s="31"/>
      <c r="Z12" s="31" t="s">
        <v>387</v>
      </c>
      <c r="AA12" s="31"/>
      <c r="AB12" s="41">
        <f t="shared" si="1"/>
        <v>501</v>
      </c>
      <c r="AC12" s="31"/>
      <c r="AD12" s="38"/>
      <c r="AE12" s="31"/>
      <c r="AF12" s="31"/>
      <c r="AG12" s="31"/>
      <c r="AH12" s="31">
        <v>115000</v>
      </c>
      <c r="AI12" s="31">
        <v>-10181</v>
      </c>
      <c r="AJ12" s="31"/>
      <c r="AK12" s="41">
        <f t="shared" si="0"/>
        <v>104819</v>
      </c>
    </row>
    <row r="13" spans="1:39" s="2" customFormat="1" ht="23.25" customHeight="1">
      <c r="A13" s="51" t="s">
        <v>3</v>
      </c>
      <c r="B13" s="11" t="s">
        <v>4</v>
      </c>
      <c r="C13" s="28" t="s">
        <v>5</v>
      </c>
      <c r="D13" s="11" t="s">
        <v>388</v>
      </c>
      <c r="E13" s="46" t="s">
        <v>387</v>
      </c>
      <c r="F13" s="30">
        <v>-39509.710000008345</v>
      </c>
      <c r="G13" s="31">
        <v>-214653.95379316318</v>
      </c>
      <c r="H13" s="31">
        <v>0</v>
      </c>
      <c r="I13" s="31">
        <v>-286667</v>
      </c>
      <c r="J13" s="31">
        <v>0</v>
      </c>
      <c r="K13" s="32"/>
      <c r="L13" s="36">
        <v>908073</v>
      </c>
      <c r="M13" s="31">
        <v>413756</v>
      </c>
      <c r="N13" s="31">
        <v>396812</v>
      </c>
      <c r="O13" s="31"/>
      <c r="P13" s="33">
        <v>448410</v>
      </c>
      <c r="Q13" s="31"/>
      <c r="R13" s="35">
        <v>251052</v>
      </c>
      <c r="S13" s="31">
        <v>1153362</v>
      </c>
      <c r="T13" s="31">
        <v>244337.21337844688</v>
      </c>
      <c r="U13" s="31"/>
      <c r="V13" s="34">
        <v>148975</v>
      </c>
      <c r="W13" s="31"/>
      <c r="X13" s="36">
        <v>73077</v>
      </c>
      <c r="Y13" s="31"/>
      <c r="Z13" s="37">
        <v>254928</v>
      </c>
      <c r="AA13" s="31"/>
      <c r="AB13" s="40">
        <f t="shared" si="1"/>
        <v>2045005.2899999917</v>
      </c>
      <c r="AC13" s="31"/>
      <c r="AD13" s="38"/>
      <c r="AE13" s="31"/>
      <c r="AF13" s="39"/>
      <c r="AG13" s="39"/>
      <c r="AH13" s="39">
        <v>180000</v>
      </c>
      <c r="AI13" s="39">
        <v>-767669</v>
      </c>
      <c r="AJ13" s="31"/>
      <c r="AK13" s="40">
        <f t="shared" si="0"/>
        <v>-587669</v>
      </c>
    </row>
    <row r="14" spans="1:39" s="2" customFormat="1" ht="23.25" customHeight="1">
      <c r="A14" s="51" t="s">
        <v>208</v>
      </c>
      <c r="B14" s="14" t="s">
        <v>209</v>
      </c>
      <c r="C14" s="29" t="s">
        <v>8</v>
      </c>
      <c r="D14" s="15" t="s">
        <v>388</v>
      </c>
      <c r="E14" s="46" t="s">
        <v>387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/>
      <c r="L14" s="31">
        <v>140401</v>
      </c>
      <c r="M14" s="31">
        <v>177324</v>
      </c>
      <c r="N14" s="31">
        <v>152620</v>
      </c>
      <c r="O14" s="31"/>
      <c r="P14" s="31">
        <v>149470</v>
      </c>
      <c r="Q14" s="31"/>
      <c r="R14" s="31">
        <v>42769</v>
      </c>
      <c r="S14" s="31">
        <v>351581</v>
      </c>
      <c r="T14" s="31">
        <v>48278.298875548549</v>
      </c>
      <c r="U14" s="31"/>
      <c r="V14" s="31">
        <v>73293</v>
      </c>
      <c r="W14" s="31"/>
      <c r="X14" s="31">
        <v>0</v>
      </c>
      <c r="Y14" s="31"/>
      <c r="Z14" s="31">
        <v>5388</v>
      </c>
      <c r="AA14" s="31"/>
      <c r="AB14" s="41">
        <f t="shared" si="1"/>
        <v>411321</v>
      </c>
      <c r="AC14" s="31"/>
      <c r="AD14" s="38"/>
      <c r="AE14" s="31"/>
      <c r="AF14" s="31"/>
      <c r="AG14" s="31"/>
      <c r="AH14" s="31">
        <v>20000</v>
      </c>
      <c r="AI14" s="31">
        <v>-225949</v>
      </c>
      <c r="AJ14" s="31"/>
      <c r="AK14" s="41">
        <f t="shared" si="0"/>
        <v>-205949</v>
      </c>
      <c r="AM14" s="2" t="s">
        <v>460</v>
      </c>
    </row>
    <row r="15" spans="1:39" s="2" customFormat="1" ht="23.25" customHeight="1">
      <c r="A15" s="51" t="s">
        <v>15</v>
      </c>
      <c r="B15" s="11" t="s">
        <v>16</v>
      </c>
      <c r="C15" s="28" t="s">
        <v>8</v>
      </c>
      <c r="D15" s="11" t="s">
        <v>389</v>
      </c>
      <c r="E15" s="46" t="s">
        <v>387</v>
      </c>
      <c r="F15" s="30">
        <v>-212906.16999998689</v>
      </c>
      <c r="G15" s="31">
        <v>-53927.443763772913</v>
      </c>
      <c r="H15" s="31">
        <v>0</v>
      </c>
      <c r="I15" s="31">
        <v>-73333</v>
      </c>
      <c r="J15" s="31">
        <v>0</v>
      </c>
      <c r="K15" s="32"/>
      <c r="L15" s="36">
        <v>854100</v>
      </c>
      <c r="M15" s="31">
        <v>59108</v>
      </c>
      <c r="N15" s="31">
        <v>91572</v>
      </c>
      <c r="O15" s="31"/>
      <c r="P15" s="33">
        <v>149470</v>
      </c>
      <c r="Q15" s="31"/>
      <c r="R15" s="35">
        <v>252005</v>
      </c>
      <c r="S15" s="31">
        <v>1216361</v>
      </c>
      <c r="T15" s="31">
        <v>253879.86220694269</v>
      </c>
      <c r="U15" s="31"/>
      <c r="V15" s="34">
        <v>82616</v>
      </c>
      <c r="W15" s="31"/>
      <c r="X15" s="36">
        <v>48718</v>
      </c>
      <c r="Y15" s="31"/>
      <c r="Z15" s="37">
        <v>112210</v>
      </c>
      <c r="AA15" s="31"/>
      <c r="AB15" s="40">
        <f t="shared" si="1"/>
        <v>1286212.8300000131</v>
      </c>
      <c r="AC15" s="31"/>
      <c r="AD15" s="38"/>
      <c r="AE15" s="31"/>
      <c r="AF15" s="39"/>
      <c r="AG15" s="39"/>
      <c r="AH15" s="39">
        <v>300000</v>
      </c>
      <c r="AI15" s="39">
        <v>-862450</v>
      </c>
      <c r="AJ15" s="31"/>
      <c r="AK15" s="40">
        <f t="shared" si="0"/>
        <v>-562450</v>
      </c>
      <c r="AM15" s="2" t="s">
        <v>461</v>
      </c>
    </row>
    <row r="16" spans="1:39" s="2" customFormat="1" ht="23.25" customHeight="1">
      <c r="A16" s="51" t="s">
        <v>206</v>
      </c>
      <c r="B16" s="14" t="s">
        <v>207</v>
      </c>
      <c r="C16" s="29" t="s">
        <v>8</v>
      </c>
      <c r="D16" s="15" t="s">
        <v>389</v>
      </c>
      <c r="E16" s="46" t="s">
        <v>387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/>
      <c r="L16" s="31">
        <v>109223</v>
      </c>
      <c r="M16" s="31">
        <v>118216</v>
      </c>
      <c r="N16" s="31">
        <v>91572</v>
      </c>
      <c r="O16" s="31"/>
      <c r="P16" s="31">
        <v>89682</v>
      </c>
      <c r="Q16" s="31"/>
      <c r="R16" s="31">
        <v>35776</v>
      </c>
      <c r="S16" s="31">
        <v>187038</v>
      </c>
      <c r="T16" s="31">
        <v>26291.464651387098</v>
      </c>
      <c r="U16" s="31"/>
      <c r="V16" s="31">
        <v>61747</v>
      </c>
      <c r="W16" s="31"/>
      <c r="X16" s="31">
        <v>0</v>
      </c>
      <c r="Y16" s="31"/>
      <c r="Z16" s="31">
        <v>-5844</v>
      </c>
      <c r="AA16" s="31"/>
      <c r="AB16" s="41">
        <f t="shared" si="1"/>
        <v>290584</v>
      </c>
      <c r="AC16" s="31"/>
      <c r="AD16" s="38"/>
      <c r="AE16" s="31"/>
      <c r="AF16" s="31"/>
      <c r="AG16" s="31"/>
      <c r="AH16" s="31">
        <v>100000</v>
      </c>
      <c r="AI16" s="31">
        <v>-141580</v>
      </c>
      <c r="AJ16" s="31"/>
      <c r="AK16" s="41">
        <f t="shared" si="0"/>
        <v>-41580</v>
      </c>
      <c r="AM16" s="2" t="s">
        <v>462</v>
      </c>
    </row>
    <row r="17" spans="1:37" s="2" customFormat="1" ht="23.25" customHeight="1">
      <c r="A17" s="51" t="s">
        <v>220</v>
      </c>
      <c r="B17" s="11" t="s">
        <v>221</v>
      </c>
      <c r="C17" s="28" t="s">
        <v>28</v>
      </c>
      <c r="D17" s="11" t="s">
        <v>389</v>
      </c>
      <c r="E17" s="46" t="s">
        <v>387</v>
      </c>
      <c r="F17" s="30">
        <v>0</v>
      </c>
      <c r="G17" s="31">
        <v>0</v>
      </c>
      <c r="H17" s="31">
        <v>0</v>
      </c>
      <c r="I17" s="31">
        <v>0</v>
      </c>
      <c r="J17" s="31">
        <v>0</v>
      </c>
      <c r="K17" s="32"/>
      <c r="L17" s="36">
        <v>0</v>
      </c>
      <c r="M17" s="31" t="s">
        <v>387</v>
      </c>
      <c r="N17" s="31">
        <v>0</v>
      </c>
      <c r="O17" s="31"/>
      <c r="P17" s="33">
        <v>0</v>
      </c>
      <c r="Q17" s="31"/>
      <c r="R17" s="35">
        <v>478</v>
      </c>
      <c r="S17" s="31">
        <v>8080</v>
      </c>
      <c r="T17" s="31">
        <v>0</v>
      </c>
      <c r="U17" s="31"/>
      <c r="V17" s="34">
        <v>0</v>
      </c>
      <c r="W17" s="31"/>
      <c r="X17" s="36">
        <v>0</v>
      </c>
      <c r="Y17" s="31"/>
      <c r="Z17" s="37">
        <v>8894</v>
      </c>
      <c r="AA17" s="31"/>
      <c r="AB17" s="40">
        <f t="shared" si="1"/>
        <v>9372</v>
      </c>
      <c r="AC17" s="31"/>
      <c r="AD17" s="38"/>
      <c r="AE17" s="31"/>
      <c r="AF17" s="39"/>
      <c r="AG17" s="39"/>
      <c r="AH17" s="39">
        <v>100000</v>
      </c>
      <c r="AI17" s="39">
        <v>-62421</v>
      </c>
      <c r="AJ17" s="31"/>
      <c r="AK17" s="40">
        <f t="shared" si="0"/>
        <v>37579</v>
      </c>
    </row>
    <row r="18" spans="1:37" s="2" customFormat="1" ht="23.25" customHeight="1">
      <c r="A18" s="51" t="s">
        <v>17</v>
      </c>
      <c r="B18" s="14" t="s">
        <v>18</v>
      </c>
      <c r="C18" s="29" t="s">
        <v>19</v>
      </c>
      <c r="D18" s="15" t="s">
        <v>390</v>
      </c>
      <c r="E18" s="46" t="s">
        <v>387</v>
      </c>
      <c r="F18" s="31">
        <v>-44338.740000009537</v>
      </c>
      <c r="G18" s="31">
        <v>133089</v>
      </c>
      <c r="H18" s="31">
        <v>48566.394701570003</v>
      </c>
      <c r="I18" s="31">
        <v>-386667</v>
      </c>
      <c r="J18" s="31">
        <v>487</v>
      </c>
      <c r="K18" s="31"/>
      <c r="L18" s="31">
        <v>2086974</v>
      </c>
      <c r="M18" s="31">
        <v>29554</v>
      </c>
      <c r="N18" s="31">
        <v>30524</v>
      </c>
      <c r="O18" s="31"/>
      <c r="P18" s="31">
        <v>59788</v>
      </c>
      <c r="Q18" s="31"/>
      <c r="R18" s="31">
        <v>443434</v>
      </c>
      <c r="S18" s="31">
        <v>2305615</v>
      </c>
      <c r="T18" s="31">
        <v>516408.0117499539</v>
      </c>
      <c r="U18" s="31"/>
      <c r="V18" s="31">
        <v>153300</v>
      </c>
      <c r="W18" s="31"/>
      <c r="X18" s="31">
        <v>48718</v>
      </c>
      <c r="Y18" s="31"/>
      <c r="Z18" s="31">
        <v>259630</v>
      </c>
      <c r="AA18" s="31"/>
      <c r="AB18" s="41">
        <f t="shared" si="1"/>
        <v>3007505.2599999905</v>
      </c>
      <c r="AC18" s="31"/>
      <c r="AD18" s="38"/>
      <c r="AE18" s="31"/>
      <c r="AF18" s="31"/>
      <c r="AG18" s="31"/>
      <c r="AH18" s="31"/>
      <c r="AI18" s="31">
        <v>-1997038</v>
      </c>
      <c r="AJ18" s="31"/>
      <c r="AK18" s="41">
        <f t="shared" si="0"/>
        <v>-1997038</v>
      </c>
    </row>
    <row r="19" spans="1:37" s="2" customFormat="1" ht="23.25" customHeight="1">
      <c r="A19" s="51" t="s">
        <v>20</v>
      </c>
      <c r="B19" s="11" t="s">
        <v>21</v>
      </c>
      <c r="C19" s="28" t="s">
        <v>5</v>
      </c>
      <c r="D19" s="11" t="s">
        <v>390</v>
      </c>
      <c r="E19" s="46" t="s">
        <v>387</v>
      </c>
      <c r="F19" s="30">
        <v>18190.710000008345</v>
      </c>
      <c r="G19" s="31">
        <v>0</v>
      </c>
      <c r="H19" s="31">
        <v>0</v>
      </c>
      <c r="I19" s="31">
        <v>0</v>
      </c>
      <c r="J19" s="31">
        <v>0</v>
      </c>
      <c r="K19" s="32"/>
      <c r="L19" s="36">
        <v>163051</v>
      </c>
      <c r="M19" s="31">
        <v>177324</v>
      </c>
      <c r="N19" s="31">
        <v>152620</v>
      </c>
      <c r="O19" s="31"/>
      <c r="P19" s="33">
        <v>239152</v>
      </c>
      <c r="Q19" s="31"/>
      <c r="R19" s="35">
        <v>125875</v>
      </c>
      <c r="S19" s="31">
        <v>533367</v>
      </c>
      <c r="T19" s="31">
        <v>95666.17187822242</v>
      </c>
      <c r="U19" s="31"/>
      <c r="V19" s="34">
        <v>64676</v>
      </c>
      <c r="W19" s="31"/>
      <c r="X19" s="36">
        <v>0</v>
      </c>
      <c r="Y19" s="31"/>
      <c r="Z19" s="37">
        <v>-42376</v>
      </c>
      <c r="AA19" s="31"/>
      <c r="AB19" s="40">
        <f t="shared" si="1"/>
        <v>568568.71000000834</v>
      </c>
      <c r="AC19" s="31"/>
      <c r="AD19" s="38"/>
      <c r="AE19" s="31"/>
      <c r="AF19" s="39"/>
      <c r="AG19" s="39"/>
      <c r="AH19" s="39">
        <v>135000</v>
      </c>
      <c r="AI19" s="39">
        <v>-445600</v>
      </c>
      <c r="AJ19" s="31"/>
      <c r="AK19" s="40">
        <f t="shared" si="0"/>
        <v>-310600</v>
      </c>
    </row>
    <row r="20" spans="1:37" s="2" customFormat="1" ht="23.25" customHeight="1">
      <c r="A20" s="51" t="s">
        <v>173</v>
      </c>
      <c r="B20" s="14" t="s">
        <v>174</v>
      </c>
      <c r="C20" s="29" t="s">
        <v>8</v>
      </c>
      <c r="D20" s="15" t="s">
        <v>390</v>
      </c>
      <c r="E20" s="46" t="s">
        <v>387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/>
      <c r="L20" s="31">
        <v>367050</v>
      </c>
      <c r="M20" s="31">
        <v>88662</v>
      </c>
      <c r="N20" s="31">
        <v>61048</v>
      </c>
      <c r="O20" s="31"/>
      <c r="P20" s="31">
        <v>59788</v>
      </c>
      <c r="Q20" s="31"/>
      <c r="R20" s="31">
        <v>167000</v>
      </c>
      <c r="S20" s="31">
        <v>653827</v>
      </c>
      <c r="T20" s="31">
        <v>116330.196201158</v>
      </c>
      <c r="U20" s="31"/>
      <c r="V20" s="31">
        <v>131725</v>
      </c>
      <c r="W20" s="31"/>
      <c r="X20" s="31">
        <v>0</v>
      </c>
      <c r="Y20" s="31"/>
      <c r="Z20" s="31">
        <v>60386</v>
      </c>
      <c r="AA20" s="31"/>
      <c r="AB20" s="41">
        <f t="shared" si="1"/>
        <v>785949</v>
      </c>
      <c r="AC20" s="31"/>
      <c r="AD20" s="38"/>
      <c r="AE20" s="31"/>
      <c r="AF20" s="31"/>
      <c r="AG20" s="31"/>
      <c r="AH20" s="31">
        <v>265000</v>
      </c>
      <c r="AI20" s="31">
        <v>-467898</v>
      </c>
      <c r="AJ20" s="31"/>
      <c r="AK20" s="41">
        <f t="shared" si="0"/>
        <v>-202898</v>
      </c>
    </row>
    <row r="21" spans="1:37" s="2" customFormat="1" ht="23.25" customHeight="1">
      <c r="A21" s="51" t="s">
        <v>222</v>
      </c>
      <c r="B21" s="11" t="s">
        <v>223</v>
      </c>
      <c r="C21" s="28" t="s">
        <v>28</v>
      </c>
      <c r="D21" s="11" t="s">
        <v>390</v>
      </c>
      <c r="E21" s="46" t="s">
        <v>387</v>
      </c>
      <c r="F21" s="30">
        <v>0</v>
      </c>
      <c r="G21" s="31">
        <v>0</v>
      </c>
      <c r="H21" s="31">
        <v>0</v>
      </c>
      <c r="I21" s="31">
        <v>0</v>
      </c>
      <c r="J21" s="31">
        <v>0</v>
      </c>
      <c r="K21" s="32"/>
      <c r="L21" s="36">
        <v>0</v>
      </c>
      <c r="M21" s="31">
        <v>0</v>
      </c>
      <c r="N21" s="31">
        <v>0</v>
      </c>
      <c r="O21" s="31"/>
      <c r="P21" s="33">
        <v>0</v>
      </c>
      <c r="Q21" s="31"/>
      <c r="R21" s="35">
        <v>418</v>
      </c>
      <c r="S21" s="31">
        <v>7049</v>
      </c>
      <c r="T21" s="31">
        <v>0</v>
      </c>
      <c r="U21" s="31"/>
      <c r="V21" s="34">
        <v>0</v>
      </c>
      <c r="W21" s="31"/>
      <c r="X21" s="36">
        <v>0</v>
      </c>
      <c r="Y21" s="31"/>
      <c r="Z21" s="37" t="s">
        <v>387</v>
      </c>
      <c r="AA21" s="31"/>
      <c r="AB21" s="40">
        <f t="shared" si="1"/>
        <v>418</v>
      </c>
      <c r="AC21" s="31"/>
      <c r="AD21" s="38"/>
      <c r="AE21" s="31"/>
      <c r="AF21" s="39"/>
      <c r="AG21" s="39"/>
      <c r="AH21" s="39"/>
      <c r="AI21" s="39">
        <v>-7886</v>
      </c>
      <c r="AJ21" s="31"/>
      <c r="AK21" s="40">
        <f t="shared" si="0"/>
        <v>-7886</v>
      </c>
    </row>
    <row r="22" spans="1:37" s="2" customFormat="1" ht="23.25" customHeight="1">
      <c r="A22" s="51" t="s">
        <v>224</v>
      </c>
      <c r="B22" s="14" t="s">
        <v>225</v>
      </c>
      <c r="C22" s="29" t="s">
        <v>28</v>
      </c>
      <c r="D22" s="15" t="s">
        <v>390</v>
      </c>
      <c r="E22" s="46" t="s">
        <v>387</v>
      </c>
      <c r="F22" s="31">
        <v>54993</v>
      </c>
      <c r="G22" s="31">
        <v>0</v>
      </c>
      <c r="H22" s="31">
        <v>0</v>
      </c>
      <c r="I22" s="31">
        <v>0</v>
      </c>
      <c r="J22" s="31">
        <v>0</v>
      </c>
      <c r="K22" s="31"/>
      <c r="L22" s="31">
        <v>0</v>
      </c>
      <c r="M22" s="31" t="s">
        <v>387</v>
      </c>
      <c r="N22" s="31">
        <v>0</v>
      </c>
      <c r="O22" s="31"/>
      <c r="P22" s="31">
        <v>0</v>
      </c>
      <c r="Q22" s="31"/>
      <c r="R22" s="31">
        <v>994</v>
      </c>
      <c r="S22" s="31">
        <v>16808</v>
      </c>
      <c r="T22" s="31">
        <v>0</v>
      </c>
      <c r="U22" s="31"/>
      <c r="V22" s="31">
        <v>0</v>
      </c>
      <c r="W22" s="31"/>
      <c r="X22" s="31">
        <v>0</v>
      </c>
      <c r="Y22" s="31"/>
      <c r="Z22" s="31">
        <v>10980</v>
      </c>
      <c r="AA22" s="31"/>
      <c r="AB22" s="41">
        <f>SUM(Z22,X22,V22,R22,P22,L22,F22)</f>
        <v>66967</v>
      </c>
      <c r="AC22" s="31"/>
      <c r="AD22" s="38"/>
      <c r="AE22" s="31"/>
      <c r="AF22" s="31"/>
      <c r="AG22" s="31"/>
      <c r="AH22" s="31">
        <v>100000</v>
      </c>
      <c r="AI22" s="31">
        <v>-137026</v>
      </c>
      <c r="AJ22" s="31"/>
      <c r="AK22" s="41">
        <f t="shared" si="0"/>
        <v>-37026</v>
      </c>
    </row>
    <row r="23" spans="1:37" s="2" customFormat="1" ht="23.25" customHeight="1">
      <c r="A23" s="51" t="s">
        <v>226</v>
      </c>
      <c r="B23" s="11" t="s">
        <v>227</v>
      </c>
      <c r="C23" s="28" t="s">
        <v>28</v>
      </c>
      <c r="D23" s="11" t="s">
        <v>390</v>
      </c>
      <c r="E23" s="46" t="s">
        <v>387</v>
      </c>
      <c r="F23" s="30">
        <v>0</v>
      </c>
      <c r="G23" s="31">
        <v>0</v>
      </c>
      <c r="H23" s="31">
        <v>0</v>
      </c>
      <c r="I23" s="31">
        <v>0</v>
      </c>
      <c r="J23" s="31">
        <v>0</v>
      </c>
      <c r="K23" s="32"/>
      <c r="L23" s="36" t="s">
        <v>387</v>
      </c>
      <c r="M23" s="31" t="s">
        <v>387</v>
      </c>
      <c r="N23" s="31">
        <v>0</v>
      </c>
      <c r="O23" s="31"/>
      <c r="P23" s="33"/>
      <c r="Q23" s="31"/>
      <c r="R23" s="35" t="s">
        <v>387</v>
      </c>
      <c r="S23" s="31">
        <v>0</v>
      </c>
      <c r="T23" s="31">
        <v>0</v>
      </c>
      <c r="U23" s="31"/>
      <c r="V23" s="34" t="s">
        <v>387</v>
      </c>
      <c r="W23" s="31"/>
      <c r="X23" s="36">
        <v>0</v>
      </c>
      <c r="Y23" s="31"/>
      <c r="Z23" s="37" t="s">
        <v>387</v>
      </c>
      <c r="AA23" s="31"/>
      <c r="AB23" s="40">
        <f t="shared" si="1"/>
        <v>0</v>
      </c>
      <c r="AC23" s="31"/>
      <c r="AD23" s="38"/>
      <c r="AE23" s="31"/>
      <c r="AF23" s="39"/>
      <c r="AG23" s="39"/>
      <c r="AH23" s="39"/>
      <c r="AI23" s="39">
        <v>-2978</v>
      </c>
      <c r="AJ23" s="31"/>
      <c r="AK23" s="40">
        <f t="shared" si="0"/>
        <v>-2978</v>
      </c>
    </row>
    <row r="24" spans="1:37" s="2" customFormat="1" ht="23.25" customHeight="1">
      <c r="A24" s="51" t="s">
        <v>31</v>
      </c>
      <c r="B24" s="14" t="s">
        <v>32</v>
      </c>
      <c r="C24" s="29" t="s">
        <v>5</v>
      </c>
      <c r="D24" s="15" t="s">
        <v>391</v>
      </c>
      <c r="E24" s="46" t="s">
        <v>387</v>
      </c>
      <c r="F24" s="31">
        <v>-24846.769999980927</v>
      </c>
      <c r="G24" s="31">
        <v>60160.332409461305</v>
      </c>
      <c r="H24" s="31">
        <v>-56509.525749228502</v>
      </c>
      <c r="I24" s="31">
        <v>39334</v>
      </c>
      <c r="J24" s="31">
        <v>0</v>
      </c>
      <c r="K24" s="31"/>
      <c r="L24" s="31">
        <v>814085</v>
      </c>
      <c r="M24" s="31" t="s">
        <v>387</v>
      </c>
      <c r="N24" s="31">
        <v>91572</v>
      </c>
      <c r="O24" s="31"/>
      <c r="P24" s="31">
        <v>89682</v>
      </c>
      <c r="Q24" s="31"/>
      <c r="R24" s="31">
        <v>274417</v>
      </c>
      <c r="S24" s="31">
        <v>1335336</v>
      </c>
      <c r="T24" s="31">
        <v>273359.81424457184</v>
      </c>
      <c r="U24" s="31"/>
      <c r="V24" s="31">
        <v>108483</v>
      </c>
      <c r="W24" s="31"/>
      <c r="X24" s="31">
        <v>73077</v>
      </c>
      <c r="Y24" s="31"/>
      <c r="Z24" s="31">
        <v>111066</v>
      </c>
      <c r="AA24" s="31"/>
      <c r="AB24" s="41">
        <f t="shared" si="1"/>
        <v>1445963.2300000191</v>
      </c>
      <c r="AC24" s="31"/>
      <c r="AD24" s="38"/>
      <c r="AE24" s="31"/>
      <c r="AF24" s="31"/>
      <c r="AG24" s="31"/>
      <c r="AH24" s="31"/>
      <c r="AI24" s="31">
        <v>-975365</v>
      </c>
      <c r="AJ24" s="31"/>
      <c r="AK24" s="41">
        <f t="shared" si="0"/>
        <v>-975365</v>
      </c>
    </row>
    <row r="25" spans="1:37" s="2" customFormat="1" ht="23.25" customHeight="1">
      <c r="A25" s="51" t="s">
        <v>86</v>
      </c>
      <c r="B25" s="11" t="s">
        <v>87</v>
      </c>
      <c r="C25" s="28" t="s">
        <v>48</v>
      </c>
      <c r="D25" s="11" t="s">
        <v>391</v>
      </c>
      <c r="E25" s="46" t="s">
        <v>387</v>
      </c>
      <c r="F25" s="30">
        <v>0</v>
      </c>
      <c r="G25" s="31">
        <v>0</v>
      </c>
      <c r="H25" s="31">
        <v>0</v>
      </c>
      <c r="I25" s="31">
        <v>0</v>
      </c>
      <c r="J25" s="31">
        <v>0</v>
      </c>
      <c r="K25" s="32"/>
      <c r="L25" s="36">
        <v>70538</v>
      </c>
      <c r="M25" s="31" t="s">
        <v>387</v>
      </c>
      <c r="N25" s="31" t="s">
        <v>387</v>
      </c>
      <c r="O25" s="31"/>
      <c r="P25" s="33">
        <v>0</v>
      </c>
      <c r="Q25" s="31"/>
      <c r="R25" s="35">
        <v>24727</v>
      </c>
      <c r="S25" s="31">
        <v>73509</v>
      </c>
      <c r="T25" s="31">
        <v>13851.022790623763</v>
      </c>
      <c r="U25" s="31"/>
      <c r="V25" s="34">
        <v>0</v>
      </c>
      <c r="W25" s="31"/>
      <c r="X25" s="36">
        <v>0</v>
      </c>
      <c r="Y25" s="31"/>
      <c r="Z25" s="37">
        <v>1220</v>
      </c>
      <c r="AA25" s="31"/>
      <c r="AB25" s="40">
        <f t="shared" si="1"/>
        <v>96485</v>
      </c>
      <c r="AC25" s="31"/>
      <c r="AD25" s="38"/>
      <c r="AE25" s="31"/>
      <c r="AF25" s="39"/>
      <c r="AG25" s="39"/>
      <c r="AH25" s="39">
        <v>100000</v>
      </c>
      <c r="AI25" s="39">
        <v>-77183</v>
      </c>
      <c r="AJ25" s="31"/>
      <c r="AK25" s="40">
        <f t="shared" si="0"/>
        <v>22817</v>
      </c>
    </row>
    <row r="26" spans="1:37" s="2" customFormat="1" ht="23.25" customHeight="1">
      <c r="A26" s="51" t="s">
        <v>228</v>
      </c>
      <c r="B26" s="14" t="s">
        <v>229</v>
      </c>
      <c r="C26" s="29" t="s">
        <v>28</v>
      </c>
      <c r="D26" s="15" t="s">
        <v>391</v>
      </c>
      <c r="E26" s="46" t="s">
        <v>387</v>
      </c>
      <c r="F26" s="31">
        <v>18190.709999999963</v>
      </c>
      <c r="G26" s="31">
        <v>0</v>
      </c>
      <c r="H26" s="31">
        <v>0</v>
      </c>
      <c r="I26" s="31">
        <v>0</v>
      </c>
      <c r="J26" s="31">
        <v>0</v>
      </c>
      <c r="K26" s="31"/>
      <c r="L26" s="31">
        <v>0</v>
      </c>
      <c r="M26" s="31">
        <v>88662</v>
      </c>
      <c r="N26" s="31">
        <v>0</v>
      </c>
      <c r="O26" s="31"/>
      <c r="P26" s="31">
        <v>89682</v>
      </c>
      <c r="Q26" s="31"/>
      <c r="R26" s="31">
        <v>633</v>
      </c>
      <c r="S26" s="31">
        <v>2944</v>
      </c>
      <c r="T26" s="31">
        <v>0</v>
      </c>
      <c r="U26" s="31"/>
      <c r="V26" s="31">
        <v>0</v>
      </c>
      <c r="W26" s="31"/>
      <c r="X26" s="31">
        <v>0</v>
      </c>
      <c r="Y26" s="31"/>
      <c r="Z26" s="31" t="s">
        <v>387</v>
      </c>
      <c r="AA26" s="31"/>
      <c r="AB26" s="41">
        <f t="shared" si="1"/>
        <v>108505.70999999996</v>
      </c>
      <c r="AC26" s="31"/>
      <c r="AD26" s="38"/>
      <c r="AE26" s="31"/>
      <c r="AF26" s="31"/>
      <c r="AG26" s="31"/>
      <c r="AH26" s="31"/>
      <c r="AI26" s="31">
        <v>0</v>
      </c>
      <c r="AJ26" s="31"/>
      <c r="AK26" s="41">
        <f t="shared" si="0"/>
        <v>0</v>
      </c>
    </row>
    <row r="27" spans="1:37" s="2" customFormat="1" ht="23.25" customHeight="1">
      <c r="A27" s="51" t="s">
        <v>41</v>
      </c>
      <c r="B27" s="11" t="s">
        <v>42</v>
      </c>
      <c r="C27" s="28" t="s">
        <v>43</v>
      </c>
      <c r="D27" s="11" t="s">
        <v>371</v>
      </c>
      <c r="E27" s="46" t="s">
        <v>387</v>
      </c>
      <c r="F27" s="30">
        <v>-240133.36000001431</v>
      </c>
      <c r="G27" s="31">
        <v>51988.819164300556</v>
      </c>
      <c r="H27" s="31">
        <v>0</v>
      </c>
      <c r="I27" s="31">
        <v>-266667</v>
      </c>
      <c r="J27" s="31">
        <v>-62986</v>
      </c>
      <c r="K27" s="32"/>
      <c r="L27" s="36">
        <v>1040260</v>
      </c>
      <c r="M27" s="31">
        <v>561526</v>
      </c>
      <c r="N27" s="31">
        <v>610480</v>
      </c>
      <c r="O27" s="31"/>
      <c r="P27" s="33">
        <v>627774</v>
      </c>
      <c r="Q27" s="31"/>
      <c r="R27" s="35">
        <v>319019</v>
      </c>
      <c r="S27" s="31">
        <v>1601654</v>
      </c>
      <c r="T27" s="31">
        <v>328780.23433908494</v>
      </c>
      <c r="U27" s="31"/>
      <c r="V27" s="34">
        <v>110469</v>
      </c>
      <c r="W27" s="31"/>
      <c r="X27" s="36">
        <v>48718</v>
      </c>
      <c r="Y27" s="31"/>
      <c r="Z27" s="37">
        <v>55688</v>
      </c>
      <c r="AA27" s="31"/>
      <c r="AB27" s="40">
        <f t="shared" si="1"/>
        <v>1961794.6399999857</v>
      </c>
      <c r="AC27" s="31"/>
      <c r="AD27" s="38"/>
      <c r="AE27" s="31"/>
      <c r="AF27" s="39"/>
      <c r="AG27" s="39"/>
      <c r="AH27" s="39">
        <v>600000</v>
      </c>
      <c r="AI27" s="39">
        <v>-1327095</v>
      </c>
      <c r="AJ27" s="31"/>
      <c r="AK27" s="40">
        <f t="shared" si="0"/>
        <v>-727095</v>
      </c>
    </row>
    <row r="28" spans="1:37" s="2" customFormat="1" ht="23.25" customHeight="1">
      <c r="A28" s="51" t="s">
        <v>191</v>
      </c>
      <c r="B28" s="14" t="s">
        <v>192</v>
      </c>
      <c r="C28" s="29" t="s">
        <v>98</v>
      </c>
      <c r="D28" s="15" t="s">
        <v>371</v>
      </c>
      <c r="E28" s="46" t="s">
        <v>387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/>
      <c r="L28" s="31">
        <v>49539</v>
      </c>
      <c r="M28" s="31">
        <v>29554</v>
      </c>
      <c r="N28" s="31" t="s">
        <v>387</v>
      </c>
      <c r="O28" s="31"/>
      <c r="P28" s="31">
        <v>0</v>
      </c>
      <c r="Q28" s="31"/>
      <c r="R28" s="31">
        <v>18322</v>
      </c>
      <c r="S28" s="31">
        <v>92219</v>
      </c>
      <c r="T28" s="31">
        <v>10323.244315975946</v>
      </c>
      <c r="U28" s="31"/>
      <c r="V28" s="31">
        <v>0</v>
      </c>
      <c r="W28" s="31"/>
      <c r="X28" s="31">
        <v>0</v>
      </c>
      <c r="Y28" s="31"/>
      <c r="Z28" s="31">
        <v>0</v>
      </c>
      <c r="AA28" s="31"/>
      <c r="AB28" s="41">
        <f t="shared" si="1"/>
        <v>67861</v>
      </c>
      <c r="AC28" s="31"/>
      <c r="AD28" s="38"/>
      <c r="AE28" s="31"/>
      <c r="AF28" s="31"/>
      <c r="AG28" s="31"/>
      <c r="AH28" s="31"/>
      <c r="AI28" s="31">
        <v>-63053</v>
      </c>
      <c r="AJ28" s="31"/>
      <c r="AK28" s="41">
        <f t="shared" si="0"/>
        <v>-63053</v>
      </c>
    </row>
    <row r="29" spans="1:37" s="2" customFormat="1" ht="23.25" customHeight="1">
      <c r="A29" s="51" t="s">
        <v>49</v>
      </c>
      <c r="B29" s="11" t="s">
        <v>50</v>
      </c>
      <c r="C29" s="28" t="s">
        <v>38</v>
      </c>
      <c r="D29" s="11" t="s">
        <v>392</v>
      </c>
      <c r="E29" s="46" t="s">
        <v>387</v>
      </c>
      <c r="F29" s="30">
        <v>0</v>
      </c>
      <c r="G29" s="31">
        <v>0</v>
      </c>
      <c r="H29" s="31">
        <v>0</v>
      </c>
      <c r="I29" s="31">
        <v>0</v>
      </c>
      <c r="J29" s="31">
        <v>0</v>
      </c>
      <c r="K29" s="32"/>
      <c r="L29" s="36">
        <v>236136</v>
      </c>
      <c r="M29" s="31">
        <v>443310</v>
      </c>
      <c r="N29" s="31">
        <v>244192</v>
      </c>
      <c r="O29" s="31"/>
      <c r="P29" s="33">
        <v>239152</v>
      </c>
      <c r="Q29" s="31"/>
      <c r="R29" s="35">
        <v>53550</v>
      </c>
      <c r="S29" s="31">
        <v>293982</v>
      </c>
      <c r="T29" s="31">
        <v>47279.368601702852</v>
      </c>
      <c r="U29" s="31"/>
      <c r="V29" s="34">
        <v>43689</v>
      </c>
      <c r="W29" s="31"/>
      <c r="X29" s="36">
        <v>0</v>
      </c>
      <c r="Y29" s="31"/>
      <c r="Z29" s="37">
        <v>8408</v>
      </c>
      <c r="AA29" s="31"/>
      <c r="AB29" s="40">
        <f t="shared" si="1"/>
        <v>580935</v>
      </c>
      <c r="AC29" s="31"/>
      <c r="AD29" s="38"/>
      <c r="AE29" s="31"/>
      <c r="AF29" s="39"/>
      <c r="AG29" s="39"/>
      <c r="AH29" s="39"/>
      <c r="AI29" s="39">
        <v>-152254</v>
      </c>
      <c r="AJ29" s="31"/>
      <c r="AK29" s="40">
        <f t="shared" si="0"/>
        <v>-152254</v>
      </c>
    </row>
    <row r="30" spans="1:37" s="2" customFormat="1" ht="23.25" customHeight="1">
      <c r="A30" s="51" t="s">
        <v>26</v>
      </c>
      <c r="B30" s="14" t="s">
        <v>27</v>
      </c>
      <c r="C30" s="29" t="s">
        <v>28</v>
      </c>
      <c r="D30" s="15" t="s">
        <v>393</v>
      </c>
      <c r="E30" s="46" t="s">
        <v>387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/>
      <c r="L30" s="31">
        <v>0</v>
      </c>
      <c r="M30" s="31">
        <v>59108</v>
      </c>
      <c r="N30" s="31">
        <v>0</v>
      </c>
      <c r="O30" s="31"/>
      <c r="P30" s="31">
        <v>149470</v>
      </c>
      <c r="Q30" s="31"/>
      <c r="R30" s="31">
        <v>288</v>
      </c>
      <c r="S30" s="31">
        <v>2857</v>
      </c>
      <c r="T30" s="31">
        <v>0</v>
      </c>
      <c r="U30" s="31"/>
      <c r="V30" s="31">
        <v>0</v>
      </c>
      <c r="W30" s="31"/>
      <c r="X30" s="31">
        <v>0</v>
      </c>
      <c r="Y30" s="31"/>
      <c r="Z30" s="31" t="s">
        <v>387</v>
      </c>
      <c r="AA30" s="31"/>
      <c r="AB30" s="41">
        <f t="shared" si="1"/>
        <v>149758</v>
      </c>
      <c r="AC30" s="31"/>
      <c r="AD30" s="38"/>
      <c r="AE30" s="31"/>
      <c r="AF30" s="31"/>
      <c r="AG30" s="31"/>
      <c r="AH30" s="31"/>
      <c r="AI30" s="31">
        <v>0</v>
      </c>
      <c r="AJ30" s="31"/>
      <c r="AK30" s="41">
        <f t="shared" si="0"/>
        <v>0</v>
      </c>
    </row>
    <row r="31" spans="1:37" s="2" customFormat="1" ht="23.25" customHeight="1">
      <c r="A31" s="51" t="s">
        <v>72</v>
      </c>
      <c r="B31" s="11" t="s">
        <v>73</v>
      </c>
      <c r="C31" s="28" t="s">
        <v>5</v>
      </c>
      <c r="D31" s="11" t="s">
        <v>393</v>
      </c>
      <c r="E31" s="46" t="s">
        <v>387</v>
      </c>
      <c r="F31" s="30">
        <v>0</v>
      </c>
      <c r="G31" s="31">
        <v>0</v>
      </c>
      <c r="H31" s="31">
        <v>0</v>
      </c>
      <c r="I31" s="31">
        <v>0</v>
      </c>
      <c r="J31" s="31">
        <v>0</v>
      </c>
      <c r="K31" s="32"/>
      <c r="L31" s="36">
        <v>138689</v>
      </c>
      <c r="M31" s="31" t="s">
        <v>387</v>
      </c>
      <c r="N31" s="31" t="s">
        <v>387</v>
      </c>
      <c r="O31" s="31"/>
      <c r="P31" s="33">
        <v>0</v>
      </c>
      <c r="Q31" s="31"/>
      <c r="R31" s="35">
        <v>53030</v>
      </c>
      <c r="S31" s="31">
        <v>525225</v>
      </c>
      <c r="T31" s="31">
        <v>56468.51809725217</v>
      </c>
      <c r="U31" s="31"/>
      <c r="V31" s="34">
        <v>20869</v>
      </c>
      <c r="W31" s="31"/>
      <c r="X31" s="36">
        <v>0</v>
      </c>
      <c r="Y31" s="31"/>
      <c r="Z31" s="37" t="s">
        <v>387</v>
      </c>
      <c r="AA31" s="31"/>
      <c r="AB31" s="40">
        <f t="shared" si="1"/>
        <v>212588</v>
      </c>
      <c r="AC31" s="31"/>
      <c r="AD31" s="38"/>
      <c r="AE31" s="31"/>
      <c r="AF31" s="39"/>
      <c r="AG31" s="39"/>
      <c r="AH31" s="39"/>
      <c r="AI31" s="39">
        <v>-41888</v>
      </c>
      <c r="AJ31" s="31"/>
      <c r="AK31" s="40">
        <f t="shared" si="0"/>
        <v>-41888</v>
      </c>
    </row>
    <row r="32" spans="1:37" s="2" customFormat="1" ht="23.25" customHeight="1">
      <c r="A32" s="51" t="s">
        <v>135</v>
      </c>
      <c r="B32" s="14" t="s">
        <v>136</v>
      </c>
      <c r="C32" s="29" t="s">
        <v>38</v>
      </c>
      <c r="D32" s="15" t="s">
        <v>393</v>
      </c>
      <c r="E32" s="46" t="s">
        <v>387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/>
      <c r="L32" s="31">
        <v>459327</v>
      </c>
      <c r="M32" s="31">
        <v>591080</v>
      </c>
      <c r="N32" s="31">
        <v>488384</v>
      </c>
      <c r="O32" s="31"/>
      <c r="P32" s="31">
        <v>538092</v>
      </c>
      <c r="Q32" s="31"/>
      <c r="R32" s="31">
        <v>88176</v>
      </c>
      <c r="S32" s="31">
        <v>505651</v>
      </c>
      <c r="T32" s="31">
        <v>84357.42235360817</v>
      </c>
      <c r="U32" s="31"/>
      <c r="V32" s="31">
        <v>108702</v>
      </c>
      <c r="W32" s="31"/>
      <c r="X32" s="31">
        <v>0</v>
      </c>
      <c r="Y32" s="31"/>
      <c r="Z32" s="31">
        <v>11880</v>
      </c>
      <c r="AA32" s="31"/>
      <c r="AB32" s="41">
        <f t="shared" si="1"/>
        <v>1206177</v>
      </c>
      <c r="AC32" s="31"/>
      <c r="AD32" s="38"/>
      <c r="AE32" s="31"/>
      <c r="AF32" s="31"/>
      <c r="AG32" s="31"/>
      <c r="AH32" s="31">
        <v>100000</v>
      </c>
      <c r="AI32" s="31">
        <v>-583457</v>
      </c>
      <c r="AJ32" s="31"/>
      <c r="AK32" s="41">
        <f t="shared" si="0"/>
        <v>-483457</v>
      </c>
    </row>
    <row r="33" spans="1:37" s="2" customFormat="1" ht="23.25" customHeight="1">
      <c r="A33" s="51" t="s">
        <v>163</v>
      </c>
      <c r="B33" s="11" t="s">
        <v>164</v>
      </c>
      <c r="C33" s="28" t="s">
        <v>48</v>
      </c>
      <c r="D33" s="11" t="s">
        <v>393</v>
      </c>
      <c r="E33" s="46" t="s">
        <v>387</v>
      </c>
      <c r="F33" s="30">
        <v>0</v>
      </c>
      <c r="G33" s="31">
        <v>0</v>
      </c>
      <c r="H33" s="31">
        <v>0</v>
      </c>
      <c r="I33" s="31">
        <v>0</v>
      </c>
      <c r="J33" s="31">
        <v>0</v>
      </c>
      <c r="K33" s="32"/>
      <c r="L33" s="36">
        <v>3554</v>
      </c>
      <c r="M33" s="31">
        <v>118216</v>
      </c>
      <c r="N33" s="31">
        <v>91572</v>
      </c>
      <c r="O33" s="31"/>
      <c r="P33" s="33">
        <v>149470</v>
      </c>
      <c r="Q33" s="31"/>
      <c r="R33" s="35">
        <v>165658</v>
      </c>
      <c r="S33" s="31">
        <v>839504</v>
      </c>
      <c r="T33" s="31">
        <v>145204.4784891289</v>
      </c>
      <c r="U33" s="31"/>
      <c r="V33" s="34">
        <v>78678</v>
      </c>
      <c r="W33" s="31"/>
      <c r="X33" s="36">
        <v>0</v>
      </c>
      <c r="Y33" s="31"/>
      <c r="Z33" s="37">
        <v>46664</v>
      </c>
      <c r="AA33" s="31"/>
      <c r="AB33" s="40">
        <f t="shared" si="1"/>
        <v>444024</v>
      </c>
      <c r="AC33" s="31"/>
      <c r="AD33" s="38"/>
      <c r="AE33" s="31"/>
      <c r="AF33" s="39"/>
      <c r="AG33" s="39"/>
      <c r="AH33" s="39">
        <v>225000</v>
      </c>
      <c r="AI33" s="39">
        <v>-574764</v>
      </c>
      <c r="AJ33" s="31"/>
      <c r="AK33" s="40">
        <f t="shared" si="0"/>
        <v>-349764</v>
      </c>
    </row>
    <row r="34" spans="1:37" s="2" customFormat="1" ht="23.25" customHeight="1">
      <c r="A34" s="51" t="s">
        <v>169</v>
      </c>
      <c r="B34" s="14" t="s">
        <v>170</v>
      </c>
      <c r="C34" s="29" t="s">
        <v>8</v>
      </c>
      <c r="D34" s="15" t="s">
        <v>393</v>
      </c>
      <c r="E34" s="46" t="s">
        <v>387</v>
      </c>
      <c r="F34" s="31">
        <v>-180000</v>
      </c>
      <c r="G34" s="31">
        <v>107370</v>
      </c>
      <c r="H34" s="31">
        <v>0</v>
      </c>
      <c r="I34" s="31">
        <v>-253333</v>
      </c>
      <c r="J34" s="31">
        <v>0</v>
      </c>
      <c r="K34" s="31"/>
      <c r="L34" s="31">
        <v>429322</v>
      </c>
      <c r="M34" s="31">
        <v>206878</v>
      </c>
      <c r="N34" s="31" t="s">
        <v>387</v>
      </c>
      <c r="O34" s="31"/>
      <c r="P34" s="31">
        <v>179364</v>
      </c>
      <c r="Q34" s="31"/>
      <c r="R34" s="31">
        <v>225245</v>
      </c>
      <c r="S34" s="31">
        <v>1373100</v>
      </c>
      <c r="T34" s="31">
        <v>265468.29516722239</v>
      </c>
      <c r="U34" s="31"/>
      <c r="V34" s="31">
        <v>27617</v>
      </c>
      <c r="W34" s="31"/>
      <c r="X34" s="31">
        <v>48718</v>
      </c>
      <c r="Y34" s="31"/>
      <c r="Z34" s="31">
        <v>856518</v>
      </c>
      <c r="AA34" s="31"/>
      <c r="AB34" s="41">
        <f t="shared" si="1"/>
        <v>1586784</v>
      </c>
      <c r="AC34" s="31"/>
      <c r="AD34" s="38"/>
      <c r="AE34" s="31"/>
      <c r="AF34" s="31"/>
      <c r="AG34" s="31"/>
      <c r="AH34" s="31">
        <v>100000</v>
      </c>
      <c r="AI34" s="31">
        <v>-1089419</v>
      </c>
      <c r="AJ34" s="31"/>
      <c r="AK34" s="41">
        <f t="shared" si="0"/>
        <v>-989419</v>
      </c>
    </row>
    <row r="35" spans="1:37" s="2" customFormat="1" ht="23.25" customHeight="1">
      <c r="A35" s="51" t="s">
        <v>171</v>
      </c>
      <c r="B35" s="11" t="s">
        <v>172</v>
      </c>
      <c r="C35" s="28" t="s">
        <v>8</v>
      </c>
      <c r="D35" s="11" t="s">
        <v>393</v>
      </c>
      <c r="E35" s="46" t="s">
        <v>387</v>
      </c>
      <c r="F35" s="30">
        <v>-352458.13000001013</v>
      </c>
      <c r="G35" s="31">
        <v>-113310.05139747058</v>
      </c>
      <c r="H35" s="31">
        <v>0</v>
      </c>
      <c r="I35" s="31">
        <v>39334</v>
      </c>
      <c r="J35" s="31">
        <v>0</v>
      </c>
      <c r="K35" s="32"/>
      <c r="L35" s="36">
        <v>484767</v>
      </c>
      <c r="M35" s="31">
        <v>502418</v>
      </c>
      <c r="N35" s="31">
        <v>763100</v>
      </c>
      <c r="O35" s="31"/>
      <c r="P35" s="33">
        <v>747350</v>
      </c>
      <c r="Q35" s="31"/>
      <c r="R35" s="35">
        <v>230300</v>
      </c>
      <c r="S35" s="31">
        <v>1067209</v>
      </c>
      <c r="T35" s="31">
        <v>160421.21732664012</v>
      </c>
      <c r="U35" s="31"/>
      <c r="V35" s="34">
        <v>33625</v>
      </c>
      <c r="W35" s="31"/>
      <c r="X35" s="36">
        <v>73077</v>
      </c>
      <c r="Y35" s="31"/>
      <c r="Z35" s="37">
        <v>-15924</v>
      </c>
      <c r="AA35" s="31"/>
      <c r="AB35" s="40">
        <f t="shared" si="1"/>
        <v>1200736.8699999899</v>
      </c>
      <c r="AC35" s="31"/>
      <c r="AD35" s="38"/>
      <c r="AE35" s="31"/>
      <c r="AF35" s="39"/>
      <c r="AG35" s="39"/>
      <c r="AH35" s="39">
        <v>250000</v>
      </c>
      <c r="AI35" s="39">
        <v>-877840</v>
      </c>
      <c r="AJ35" s="31"/>
      <c r="AK35" s="40">
        <f t="shared" si="0"/>
        <v>-627840</v>
      </c>
    </row>
    <row r="36" spans="1:37" s="2" customFormat="1" ht="23.25" customHeight="1">
      <c r="A36" s="51" t="s">
        <v>230</v>
      </c>
      <c r="B36" s="14" t="s">
        <v>231</v>
      </c>
      <c r="C36" s="29" t="s">
        <v>28</v>
      </c>
      <c r="D36" s="15" t="s">
        <v>393</v>
      </c>
      <c r="E36" s="46" t="s">
        <v>387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/>
      <c r="L36" s="31" t="s">
        <v>387</v>
      </c>
      <c r="M36" s="31" t="s">
        <v>387</v>
      </c>
      <c r="N36" s="31" t="s">
        <v>387</v>
      </c>
      <c r="O36" s="31"/>
      <c r="P36" s="31"/>
      <c r="Q36" s="31"/>
      <c r="R36" s="31" t="s">
        <v>387</v>
      </c>
      <c r="S36" s="31">
        <v>0</v>
      </c>
      <c r="T36" s="31">
        <v>0</v>
      </c>
      <c r="U36" s="31"/>
      <c r="V36" s="31" t="s">
        <v>387</v>
      </c>
      <c r="W36" s="31"/>
      <c r="X36" s="31">
        <v>0</v>
      </c>
      <c r="Y36" s="31"/>
      <c r="Z36" s="31" t="s">
        <v>387</v>
      </c>
      <c r="AA36" s="31"/>
      <c r="AB36" s="41">
        <f t="shared" si="1"/>
        <v>0</v>
      </c>
      <c r="AC36" s="31"/>
      <c r="AD36" s="38"/>
      <c r="AE36" s="31"/>
      <c r="AF36" s="31"/>
      <c r="AG36" s="31"/>
      <c r="AH36" s="31"/>
      <c r="AI36" s="31">
        <v>-3419</v>
      </c>
      <c r="AJ36" s="31"/>
      <c r="AK36" s="41">
        <f t="shared" si="0"/>
        <v>-3419</v>
      </c>
    </row>
    <row r="37" spans="1:37" s="2" customFormat="1" ht="23.25" customHeight="1">
      <c r="A37" s="51" t="s">
        <v>232</v>
      </c>
      <c r="B37" s="11" t="s">
        <v>233</v>
      </c>
      <c r="C37" s="28" t="s">
        <v>28</v>
      </c>
      <c r="D37" s="11" t="s">
        <v>393</v>
      </c>
      <c r="E37" s="46" t="s">
        <v>387</v>
      </c>
      <c r="F37" s="30">
        <v>0</v>
      </c>
      <c r="G37" s="31">
        <v>0</v>
      </c>
      <c r="H37" s="31">
        <v>0</v>
      </c>
      <c r="I37" s="31">
        <v>0</v>
      </c>
      <c r="J37" s="31">
        <v>0</v>
      </c>
      <c r="K37" s="32"/>
      <c r="L37" s="36">
        <v>0</v>
      </c>
      <c r="M37" s="31" t="s">
        <v>387</v>
      </c>
      <c r="N37" s="31">
        <v>0</v>
      </c>
      <c r="O37" s="31"/>
      <c r="P37" s="33">
        <v>0</v>
      </c>
      <c r="Q37" s="31"/>
      <c r="R37" s="35">
        <v>377</v>
      </c>
      <c r="S37" s="31">
        <v>6378</v>
      </c>
      <c r="T37" s="31">
        <v>0</v>
      </c>
      <c r="U37" s="31"/>
      <c r="V37" s="34">
        <v>0</v>
      </c>
      <c r="W37" s="31"/>
      <c r="X37" s="36">
        <v>0</v>
      </c>
      <c r="Y37" s="31"/>
      <c r="Z37" s="37">
        <v>-12810</v>
      </c>
      <c r="AA37" s="31"/>
      <c r="AB37" s="40">
        <f t="shared" si="1"/>
        <v>-12433</v>
      </c>
      <c r="AC37" s="31"/>
      <c r="AD37" s="38"/>
      <c r="AE37" s="31"/>
      <c r="AF37" s="39"/>
      <c r="AG37" s="39"/>
      <c r="AH37" s="39">
        <v>20000</v>
      </c>
      <c r="AI37" s="39">
        <v>-41368</v>
      </c>
      <c r="AJ37" s="31"/>
      <c r="AK37" s="40">
        <f t="shared" si="0"/>
        <v>-21368</v>
      </c>
    </row>
    <row r="38" spans="1:37" s="2" customFormat="1" ht="23.25" customHeight="1">
      <c r="A38" s="51" t="s">
        <v>234</v>
      </c>
      <c r="B38" s="14" t="s">
        <v>235</v>
      </c>
      <c r="C38" s="29" t="s">
        <v>28</v>
      </c>
      <c r="D38" s="15" t="s">
        <v>393</v>
      </c>
      <c r="E38" s="46" t="s">
        <v>387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/>
      <c r="L38" s="31" t="s">
        <v>387</v>
      </c>
      <c r="M38" s="31" t="s">
        <v>387</v>
      </c>
      <c r="N38" s="31" t="s">
        <v>387</v>
      </c>
      <c r="O38" s="31"/>
      <c r="P38" s="31"/>
      <c r="Q38" s="31"/>
      <c r="R38" s="31" t="s">
        <v>387</v>
      </c>
      <c r="S38" s="31">
        <v>269</v>
      </c>
      <c r="T38" s="31">
        <v>0</v>
      </c>
      <c r="U38" s="31"/>
      <c r="V38" s="31" t="s">
        <v>387</v>
      </c>
      <c r="W38" s="31"/>
      <c r="X38" s="31">
        <v>0</v>
      </c>
      <c r="Y38" s="31"/>
      <c r="Z38" s="31" t="s">
        <v>387</v>
      </c>
      <c r="AA38" s="31"/>
      <c r="AB38" s="41">
        <f t="shared" si="1"/>
        <v>0</v>
      </c>
      <c r="AC38" s="31"/>
      <c r="AD38" s="38"/>
      <c r="AE38" s="31"/>
      <c r="AF38" s="31"/>
      <c r="AG38" s="31"/>
      <c r="AH38" s="31"/>
      <c r="AI38" s="31">
        <v>-4614</v>
      </c>
      <c r="AJ38" s="31"/>
      <c r="AK38" s="41">
        <f t="shared" si="0"/>
        <v>-4614</v>
      </c>
    </row>
    <row r="39" spans="1:37" s="2" customFormat="1" ht="23.25" customHeight="1">
      <c r="A39" s="51" t="s">
        <v>51</v>
      </c>
      <c r="B39" s="11" t="s">
        <v>52</v>
      </c>
      <c r="C39" s="28" t="s">
        <v>8</v>
      </c>
      <c r="D39" s="11" t="s">
        <v>394</v>
      </c>
      <c r="E39" s="46" t="s">
        <v>387</v>
      </c>
      <c r="F39" s="30">
        <v>-177290.40000000596</v>
      </c>
      <c r="G39" s="31">
        <v>-103926.33936168776</v>
      </c>
      <c r="H39" s="31">
        <v>0</v>
      </c>
      <c r="I39" s="31">
        <v>-13333</v>
      </c>
      <c r="J39" s="31">
        <v>0</v>
      </c>
      <c r="K39" s="32"/>
      <c r="L39" s="36">
        <v>781994</v>
      </c>
      <c r="M39" s="31">
        <v>177324</v>
      </c>
      <c r="N39" s="31">
        <v>91572</v>
      </c>
      <c r="O39" s="31"/>
      <c r="P39" s="33">
        <v>149470</v>
      </c>
      <c r="Q39" s="31"/>
      <c r="R39" s="35">
        <v>286708</v>
      </c>
      <c r="S39" s="31">
        <v>1409068</v>
      </c>
      <c r="T39" s="31">
        <v>287994.61611570063</v>
      </c>
      <c r="U39" s="31"/>
      <c r="V39" s="34">
        <v>27617</v>
      </c>
      <c r="W39" s="31"/>
      <c r="X39" s="36">
        <v>48718</v>
      </c>
      <c r="Y39" s="31"/>
      <c r="Z39" s="37">
        <v>202644</v>
      </c>
      <c r="AA39" s="31"/>
      <c r="AB39" s="40">
        <f t="shared" si="1"/>
        <v>1319860.599999994</v>
      </c>
      <c r="AC39" s="31"/>
      <c r="AD39" s="38"/>
      <c r="AE39" s="31"/>
      <c r="AF39" s="39"/>
      <c r="AG39" s="39"/>
      <c r="AH39" s="39">
        <v>300000</v>
      </c>
      <c r="AI39" s="39">
        <v>-1080899</v>
      </c>
      <c r="AJ39" s="31"/>
      <c r="AK39" s="40">
        <f t="shared" si="0"/>
        <v>-780899</v>
      </c>
    </row>
    <row r="40" spans="1:37" s="2" customFormat="1" ht="23.25" customHeight="1">
      <c r="A40" s="51" t="s">
        <v>236</v>
      </c>
      <c r="B40" s="14" t="s">
        <v>237</v>
      </c>
      <c r="C40" s="29" t="s">
        <v>28</v>
      </c>
      <c r="D40" s="15" t="s">
        <v>394</v>
      </c>
      <c r="E40" s="46" t="s">
        <v>387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/>
      <c r="L40" s="31">
        <v>0</v>
      </c>
      <c r="M40" s="31" t="s">
        <v>387</v>
      </c>
      <c r="N40" s="31">
        <v>0</v>
      </c>
      <c r="O40" s="31"/>
      <c r="P40" s="31">
        <v>29894</v>
      </c>
      <c r="Q40" s="31"/>
      <c r="R40" s="31">
        <v>0</v>
      </c>
      <c r="S40" s="31">
        <v>0</v>
      </c>
      <c r="T40" s="31">
        <v>0</v>
      </c>
      <c r="U40" s="31"/>
      <c r="V40" s="31">
        <v>0</v>
      </c>
      <c r="W40" s="31"/>
      <c r="X40" s="31">
        <v>0</v>
      </c>
      <c r="Y40" s="31"/>
      <c r="Z40" s="31" t="s">
        <v>387</v>
      </c>
      <c r="AA40" s="31"/>
      <c r="AB40" s="41">
        <f t="shared" si="1"/>
        <v>29894</v>
      </c>
      <c r="AC40" s="31"/>
      <c r="AD40" s="38"/>
      <c r="AE40" s="31"/>
      <c r="AF40" s="31"/>
      <c r="AG40" s="31"/>
      <c r="AH40" s="31"/>
      <c r="AI40" s="31">
        <v>0</v>
      </c>
      <c r="AJ40" s="31"/>
      <c r="AK40" s="41">
        <f t="shared" si="0"/>
        <v>0</v>
      </c>
    </row>
    <row r="41" spans="1:37" s="2" customFormat="1" ht="23.25" customHeight="1">
      <c r="A41" s="51" t="s">
        <v>39</v>
      </c>
      <c r="B41" s="11" t="s">
        <v>40</v>
      </c>
      <c r="C41" s="28" t="s">
        <v>5</v>
      </c>
      <c r="D41" s="11" t="s">
        <v>395</v>
      </c>
      <c r="E41" s="46" t="s">
        <v>387</v>
      </c>
      <c r="F41" s="30">
        <v>0</v>
      </c>
      <c r="G41" s="31">
        <v>0</v>
      </c>
      <c r="H41" s="31">
        <v>0</v>
      </c>
      <c r="I41" s="31">
        <v>0</v>
      </c>
      <c r="J41" s="31">
        <v>0</v>
      </c>
      <c r="K41" s="32"/>
      <c r="L41" s="36">
        <v>511810</v>
      </c>
      <c r="M41" s="31">
        <v>384202</v>
      </c>
      <c r="N41" s="31">
        <v>427336</v>
      </c>
      <c r="O41" s="31"/>
      <c r="P41" s="33">
        <v>418516</v>
      </c>
      <c r="Q41" s="31"/>
      <c r="R41" s="35">
        <v>156667</v>
      </c>
      <c r="S41" s="31">
        <v>654320</v>
      </c>
      <c r="T41" s="31">
        <v>121138.46684697755</v>
      </c>
      <c r="U41" s="31"/>
      <c r="V41" s="34">
        <v>85427</v>
      </c>
      <c r="W41" s="31"/>
      <c r="X41" s="36">
        <v>0</v>
      </c>
      <c r="Y41" s="31"/>
      <c r="Z41" s="37">
        <v>3606</v>
      </c>
      <c r="AA41" s="31"/>
      <c r="AB41" s="40">
        <f t="shared" si="1"/>
        <v>1176026</v>
      </c>
      <c r="AC41" s="31"/>
      <c r="AD41" s="38"/>
      <c r="AE41" s="31"/>
      <c r="AF41" s="39"/>
      <c r="AG41" s="39"/>
      <c r="AH41" s="39">
        <v>250000</v>
      </c>
      <c r="AI41" s="39">
        <v>-552676</v>
      </c>
      <c r="AJ41" s="31"/>
      <c r="AK41" s="40">
        <f t="shared" ref="AK41:AK70" si="2">SUM(AF41:AI41)</f>
        <v>-302676</v>
      </c>
    </row>
    <row r="42" spans="1:37" s="2" customFormat="1" ht="23.25" customHeight="1">
      <c r="A42" s="51" t="s">
        <v>96</v>
      </c>
      <c r="B42" s="14" t="s">
        <v>97</v>
      </c>
      <c r="C42" s="29" t="s">
        <v>98</v>
      </c>
      <c r="D42" s="15" t="s">
        <v>395</v>
      </c>
      <c r="E42" s="46" t="s">
        <v>387</v>
      </c>
      <c r="F42" s="31">
        <v>158147.84999996424</v>
      </c>
      <c r="G42" s="31">
        <v>148109</v>
      </c>
      <c r="H42" s="31">
        <v>0</v>
      </c>
      <c r="I42" s="31">
        <v>-133333</v>
      </c>
      <c r="J42" s="31">
        <v>-100000</v>
      </c>
      <c r="K42" s="31"/>
      <c r="L42" s="31">
        <v>1317112</v>
      </c>
      <c r="M42" s="31">
        <v>295540</v>
      </c>
      <c r="N42" s="31">
        <v>152620</v>
      </c>
      <c r="O42" s="31"/>
      <c r="P42" s="31">
        <v>179364</v>
      </c>
      <c r="Q42" s="31"/>
      <c r="R42" s="31">
        <v>502709</v>
      </c>
      <c r="S42" s="31">
        <v>2557970</v>
      </c>
      <c r="T42" s="31">
        <v>499366.56159935222</v>
      </c>
      <c r="U42" s="31"/>
      <c r="V42" s="31">
        <v>165350</v>
      </c>
      <c r="W42" s="31"/>
      <c r="X42" s="31">
        <v>48718</v>
      </c>
      <c r="Y42" s="31"/>
      <c r="Z42" s="31">
        <v>320896</v>
      </c>
      <c r="AA42" s="31"/>
      <c r="AB42" s="41">
        <f t="shared" si="1"/>
        <v>2692296.8499999642</v>
      </c>
      <c r="AC42" s="31"/>
      <c r="AD42" s="38"/>
      <c r="AE42" s="31"/>
      <c r="AF42" s="31"/>
      <c r="AG42" s="31"/>
      <c r="AH42" s="31">
        <v>470000</v>
      </c>
      <c r="AI42" s="31">
        <v>-2089884</v>
      </c>
      <c r="AJ42" s="31"/>
      <c r="AK42" s="41">
        <f t="shared" si="2"/>
        <v>-1619884</v>
      </c>
    </row>
    <row r="43" spans="1:37" s="2" customFormat="1" ht="23.25" customHeight="1">
      <c r="A43" s="51" t="s">
        <v>101</v>
      </c>
      <c r="B43" s="11" t="s">
        <v>102</v>
      </c>
      <c r="C43" s="28" t="s">
        <v>8</v>
      </c>
      <c r="D43" s="11" t="s">
        <v>395</v>
      </c>
      <c r="E43" s="46" t="s">
        <v>387</v>
      </c>
      <c r="F43" s="30">
        <v>0</v>
      </c>
      <c r="G43" s="31">
        <v>0</v>
      </c>
      <c r="H43" s="31">
        <v>0</v>
      </c>
      <c r="I43" s="31">
        <v>0</v>
      </c>
      <c r="J43" s="31">
        <v>0</v>
      </c>
      <c r="K43" s="32"/>
      <c r="L43" s="36">
        <v>455643</v>
      </c>
      <c r="M43" s="31">
        <v>59108</v>
      </c>
      <c r="N43" s="31">
        <v>61048</v>
      </c>
      <c r="O43" s="31"/>
      <c r="P43" s="33">
        <v>59788</v>
      </c>
      <c r="Q43" s="31"/>
      <c r="R43" s="35">
        <v>109827</v>
      </c>
      <c r="S43" s="31">
        <v>577366</v>
      </c>
      <c r="T43" s="31">
        <v>90117.314275961573</v>
      </c>
      <c r="U43" s="31"/>
      <c r="V43" s="34">
        <v>63111</v>
      </c>
      <c r="W43" s="31"/>
      <c r="X43" s="36">
        <v>0</v>
      </c>
      <c r="Y43" s="31"/>
      <c r="Z43" s="37">
        <v>-10626</v>
      </c>
      <c r="AA43" s="31"/>
      <c r="AB43" s="40">
        <f t="shared" si="1"/>
        <v>677743</v>
      </c>
      <c r="AC43" s="31"/>
      <c r="AD43" s="38"/>
      <c r="AE43" s="31"/>
      <c r="AF43" s="39"/>
      <c r="AG43" s="39"/>
      <c r="AH43" s="39">
        <v>100000</v>
      </c>
      <c r="AI43" s="39">
        <v>-431289</v>
      </c>
      <c r="AJ43" s="31"/>
      <c r="AK43" s="40">
        <f t="shared" si="2"/>
        <v>-331289</v>
      </c>
    </row>
    <row r="44" spans="1:37" s="2" customFormat="1" ht="23.25" customHeight="1">
      <c r="A44" s="51" t="s">
        <v>238</v>
      </c>
      <c r="B44" s="14" t="s">
        <v>239</v>
      </c>
      <c r="C44" s="29" t="s">
        <v>28</v>
      </c>
      <c r="D44" s="15" t="s">
        <v>395</v>
      </c>
      <c r="E44" s="46" t="s">
        <v>387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/>
      <c r="L44" s="31">
        <v>0</v>
      </c>
      <c r="M44" s="31" t="s">
        <v>387</v>
      </c>
      <c r="N44" s="31" t="s">
        <v>387</v>
      </c>
      <c r="O44" s="31"/>
      <c r="P44" s="31">
        <v>0</v>
      </c>
      <c r="Q44" s="31"/>
      <c r="R44" s="31">
        <v>63</v>
      </c>
      <c r="S44" s="31">
        <v>1065</v>
      </c>
      <c r="T44" s="31">
        <v>0</v>
      </c>
      <c r="U44" s="31"/>
      <c r="V44" s="31">
        <v>0</v>
      </c>
      <c r="W44" s="31"/>
      <c r="X44" s="31">
        <v>0</v>
      </c>
      <c r="Y44" s="31"/>
      <c r="Z44" s="31" t="s">
        <v>387</v>
      </c>
      <c r="AA44" s="31"/>
      <c r="AB44" s="41">
        <f t="shared" si="1"/>
        <v>63</v>
      </c>
      <c r="AC44" s="31"/>
      <c r="AD44" s="38"/>
      <c r="AE44" s="31"/>
      <c r="AF44" s="31"/>
      <c r="AG44" s="31"/>
      <c r="AH44" s="31"/>
      <c r="AI44" s="31">
        <v>-1387</v>
      </c>
      <c r="AJ44" s="31"/>
      <c r="AK44" s="41">
        <f t="shared" si="2"/>
        <v>-1387</v>
      </c>
    </row>
    <row r="45" spans="1:37" s="2" customFormat="1" ht="23.25" customHeight="1">
      <c r="A45" s="51" t="s">
        <v>240</v>
      </c>
      <c r="B45" s="11" t="s">
        <v>241</v>
      </c>
      <c r="C45" s="28" t="s">
        <v>28</v>
      </c>
      <c r="D45" s="11" t="s">
        <v>395</v>
      </c>
      <c r="E45" s="46" t="s">
        <v>387</v>
      </c>
      <c r="F45" s="30">
        <v>0</v>
      </c>
      <c r="G45" s="31">
        <v>0</v>
      </c>
      <c r="H45" s="31">
        <v>0</v>
      </c>
      <c r="I45" s="31">
        <v>0</v>
      </c>
      <c r="J45" s="31">
        <v>0</v>
      </c>
      <c r="K45" s="32"/>
      <c r="L45" s="36">
        <v>0</v>
      </c>
      <c r="M45" s="31" t="s">
        <v>387</v>
      </c>
      <c r="N45" s="31">
        <v>0</v>
      </c>
      <c r="O45" s="31"/>
      <c r="P45" s="33">
        <v>0</v>
      </c>
      <c r="Q45" s="31"/>
      <c r="R45" s="35">
        <v>293</v>
      </c>
      <c r="S45" s="31">
        <v>4937</v>
      </c>
      <c r="T45" s="31">
        <v>0</v>
      </c>
      <c r="U45" s="31"/>
      <c r="V45" s="34">
        <v>0</v>
      </c>
      <c r="W45" s="31"/>
      <c r="X45" s="36">
        <v>0</v>
      </c>
      <c r="Y45" s="31"/>
      <c r="Z45" s="37" t="s">
        <v>387</v>
      </c>
      <c r="AA45" s="31"/>
      <c r="AB45" s="40">
        <f t="shared" si="1"/>
        <v>293</v>
      </c>
      <c r="AC45" s="31"/>
      <c r="AD45" s="38"/>
      <c r="AE45" s="31"/>
      <c r="AF45" s="39"/>
      <c r="AG45" s="39"/>
      <c r="AH45" s="39">
        <v>200000</v>
      </c>
      <c r="AI45" s="39">
        <v>-7161</v>
      </c>
      <c r="AJ45" s="31"/>
      <c r="AK45" s="40">
        <f t="shared" si="2"/>
        <v>192839</v>
      </c>
    </row>
    <row r="46" spans="1:37" s="2" customFormat="1" ht="23.25" customHeight="1">
      <c r="A46" s="51" t="s">
        <v>242</v>
      </c>
      <c r="B46" s="14" t="s">
        <v>243</v>
      </c>
      <c r="C46" s="29" t="s">
        <v>28</v>
      </c>
      <c r="D46" s="15" t="s">
        <v>395</v>
      </c>
      <c r="E46" s="46" t="s">
        <v>387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/>
      <c r="L46" s="31">
        <v>0</v>
      </c>
      <c r="M46" s="31" t="s">
        <v>387</v>
      </c>
      <c r="N46" s="31">
        <v>0</v>
      </c>
      <c r="O46" s="31"/>
      <c r="P46" s="31">
        <v>0</v>
      </c>
      <c r="Q46" s="31"/>
      <c r="R46" s="31">
        <v>55</v>
      </c>
      <c r="S46" s="31">
        <v>932</v>
      </c>
      <c r="T46" s="31">
        <v>0</v>
      </c>
      <c r="U46" s="31"/>
      <c r="V46" s="31">
        <v>0</v>
      </c>
      <c r="W46" s="31"/>
      <c r="X46" s="31">
        <v>0</v>
      </c>
      <c r="Y46" s="31"/>
      <c r="Z46" s="31" t="s">
        <v>387</v>
      </c>
      <c r="AA46" s="31"/>
      <c r="AB46" s="41">
        <f t="shared" si="1"/>
        <v>55</v>
      </c>
      <c r="AC46" s="31"/>
      <c r="AD46" s="38"/>
      <c r="AE46" s="31"/>
      <c r="AF46" s="31"/>
      <c r="AG46" s="31"/>
      <c r="AH46" s="31"/>
      <c r="AI46" s="31">
        <v>-9130</v>
      </c>
      <c r="AJ46" s="31"/>
      <c r="AK46" s="41">
        <f t="shared" si="2"/>
        <v>-9130</v>
      </c>
    </row>
    <row r="47" spans="1:37" s="2" customFormat="1" ht="23.25" customHeight="1">
      <c r="A47" s="51" t="s">
        <v>9</v>
      </c>
      <c r="B47" s="11" t="s">
        <v>10</v>
      </c>
      <c r="C47" s="28" t="s">
        <v>11</v>
      </c>
      <c r="D47" s="11" t="s">
        <v>396</v>
      </c>
      <c r="E47" s="46" t="s">
        <v>387</v>
      </c>
      <c r="F47" s="30">
        <v>285830.51999999583</v>
      </c>
      <c r="G47" s="31">
        <v>272259.82039139117</v>
      </c>
      <c r="H47" s="31">
        <v>0</v>
      </c>
      <c r="I47" s="31">
        <v>-160000</v>
      </c>
      <c r="J47" s="31">
        <v>-156115</v>
      </c>
      <c r="K47" s="32"/>
      <c r="L47" s="36">
        <v>382736</v>
      </c>
      <c r="M47" s="31">
        <v>88662</v>
      </c>
      <c r="N47" s="31">
        <v>181990</v>
      </c>
      <c r="O47" s="31"/>
      <c r="P47" s="33">
        <v>179650</v>
      </c>
      <c r="Q47" s="31"/>
      <c r="R47" s="35">
        <v>119998</v>
      </c>
      <c r="S47" s="31">
        <v>594135</v>
      </c>
      <c r="T47" s="31">
        <v>155350.37004448508</v>
      </c>
      <c r="U47" s="31"/>
      <c r="V47" s="34">
        <v>20128</v>
      </c>
      <c r="W47" s="31"/>
      <c r="X47" s="36">
        <v>73077</v>
      </c>
      <c r="Y47" s="31"/>
      <c r="Z47" s="37">
        <v>24242</v>
      </c>
      <c r="AA47" s="31"/>
      <c r="AB47" s="40">
        <f t="shared" si="1"/>
        <v>1085661.5199999958</v>
      </c>
      <c r="AC47" s="31"/>
      <c r="AD47" s="38"/>
      <c r="AE47" s="31"/>
      <c r="AF47" s="39"/>
      <c r="AG47" s="39"/>
      <c r="AH47" s="39">
        <v>150000</v>
      </c>
      <c r="AI47" s="39">
        <v>-447154</v>
      </c>
      <c r="AJ47" s="31"/>
      <c r="AK47" s="40">
        <f t="shared" si="2"/>
        <v>-297154</v>
      </c>
    </row>
    <row r="48" spans="1:37" s="2" customFormat="1" ht="23.25" customHeight="1">
      <c r="A48" s="51" t="s">
        <v>99</v>
      </c>
      <c r="B48" s="14" t="s">
        <v>100</v>
      </c>
      <c r="C48" s="29" t="s">
        <v>35</v>
      </c>
      <c r="D48" s="15" t="s">
        <v>397</v>
      </c>
      <c r="E48" s="46" t="s">
        <v>387</v>
      </c>
      <c r="F48" s="31">
        <v>509572</v>
      </c>
      <c r="G48" s="31">
        <v>0</v>
      </c>
      <c r="H48" s="31">
        <v>0</v>
      </c>
      <c r="I48" s="31">
        <v>0</v>
      </c>
      <c r="J48" s="31">
        <v>-30469</v>
      </c>
      <c r="K48" s="31"/>
      <c r="L48" s="31">
        <v>0</v>
      </c>
      <c r="M48" s="31">
        <v>443310</v>
      </c>
      <c r="N48" s="31">
        <v>545970</v>
      </c>
      <c r="O48" s="31"/>
      <c r="P48" s="31">
        <v>646740</v>
      </c>
      <c r="Q48" s="31"/>
      <c r="R48" s="31">
        <v>11000</v>
      </c>
      <c r="S48" s="31">
        <v>151531</v>
      </c>
      <c r="T48" s="31">
        <v>24708.476408993498</v>
      </c>
      <c r="U48" s="31"/>
      <c r="V48" s="31">
        <v>0</v>
      </c>
      <c r="W48" s="31"/>
      <c r="X48" s="31">
        <v>0</v>
      </c>
      <c r="Y48" s="31"/>
      <c r="Z48" s="31">
        <v>96232</v>
      </c>
      <c r="AA48" s="31"/>
      <c r="AB48" s="41">
        <f t="shared" si="1"/>
        <v>1263544</v>
      </c>
      <c r="AC48" s="31"/>
      <c r="AD48" s="38"/>
      <c r="AE48" s="31"/>
      <c r="AF48" s="31"/>
      <c r="AG48" s="31"/>
      <c r="AH48" s="31"/>
      <c r="AI48" s="31">
        <v>-89525</v>
      </c>
      <c r="AJ48" s="31"/>
      <c r="AK48" s="41">
        <f t="shared" si="2"/>
        <v>-89525</v>
      </c>
    </row>
    <row r="49" spans="1:37" s="2" customFormat="1" ht="23.25" customHeight="1">
      <c r="A49" s="51" t="s">
        <v>116</v>
      </c>
      <c r="B49" s="11" t="s">
        <v>117</v>
      </c>
      <c r="C49" s="28" t="s">
        <v>11</v>
      </c>
      <c r="D49" s="11" t="s">
        <v>398</v>
      </c>
      <c r="E49" s="46" t="s">
        <v>387</v>
      </c>
      <c r="F49" s="30">
        <v>127079.57000000775</v>
      </c>
      <c r="G49" s="31">
        <v>308950.98993095686</v>
      </c>
      <c r="H49" s="31">
        <v>-49126.498831928002</v>
      </c>
      <c r="I49" s="31">
        <v>0</v>
      </c>
      <c r="J49" s="31">
        <v>-222176</v>
      </c>
      <c r="K49" s="32"/>
      <c r="L49" s="36">
        <v>374385</v>
      </c>
      <c r="M49" s="31">
        <v>236432</v>
      </c>
      <c r="N49" s="31">
        <v>231834</v>
      </c>
      <c r="O49" s="31"/>
      <c r="P49" s="33">
        <v>459506</v>
      </c>
      <c r="Q49" s="31"/>
      <c r="R49" s="35">
        <v>120328</v>
      </c>
      <c r="S49" s="31">
        <v>661404</v>
      </c>
      <c r="T49" s="31">
        <v>175976.49320438551</v>
      </c>
      <c r="U49" s="31"/>
      <c r="V49" s="34">
        <v>35611</v>
      </c>
      <c r="W49" s="31"/>
      <c r="X49" s="36">
        <v>97436</v>
      </c>
      <c r="Y49" s="31"/>
      <c r="Z49" s="37">
        <v>75248</v>
      </c>
      <c r="AA49" s="31"/>
      <c r="AB49" s="40">
        <f t="shared" si="1"/>
        <v>1289593.5700000077</v>
      </c>
      <c r="AC49" s="31"/>
      <c r="AD49" s="38"/>
      <c r="AE49" s="31"/>
      <c r="AF49" s="39"/>
      <c r="AG49" s="39"/>
      <c r="AH49" s="39">
        <v>150000</v>
      </c>
      <c r="AI49" s="39">
        <v>-475649</v>
      </c>
      <c r="AJ49" s="31"/>
      <c r="AK49" s="40">
        <f t="shared" si="2"/>
        <v>-325649</v>
      </c>
    </row>
    <row r="50" spans="1:37" s="2" customFormat="1" ht="23.25" customHeight="1">
      <c r="A50" s="51" t="s">
        <v>12</v>
      </c>
      <c r="B50" s="14" t="s">
        <v>441</v>
      </c>
      <c r="C50" s="29" t="s">
        <v>5</v>
      </c>
      <c r="D50" s="15" t="s">
        <v>399</v>
      </c>
      <c r="E50" s="46" t="s">
        <v>387</v>
      </c>
      <c r="F50" s="31">
        <v>-39338.090000003576</v>
      </c>
      <c r="G50" s="31">
        <v>0</v>
      </c>
      <c r="H50" s="31">
        <v>0</v>
      </c>
      <c r="I50" s="31">
        <v>0</v>
      </c>
      <c r="J50" s="31">
        <v>-21432569</v>
      </c>
      <c r="K50" s="31"/>
      <c r="L50" s="31">
        <v>272065</v>
      </c>
      <c r="M50" s="31">
        <v>88662</v>
      </c>
      <c r="N50" s="31">
        <v>91572</v>
      </c>
      <c r="O50" s="31"/>
      <c r="P50" s="31">
        <v>89682</v>
      </c>
      <c r="Q50" s="31"/>
      <c r="R50" s="31">
        <v>97115</v>
      </c>
      <c r="S50" s="31">
        <v>763109</v>
      </c>
      <c r="T50" s="31">
        <v>174981.55796484623</v>
      </c>
      <c r="U50" s="31"/>
      <c r="V50" s="31">
        <v>37681</v>
      </c>
      <c r="W50" s="31"/>
      <c r="X50" s="31">
        <v>0</v>
      </c>
      <c r="Y50" s="31"/>
      <c r="Z50" s="31">
        <v>46576</v>
      </c>
      <c r="AA50" s="31"/>
      <c r="AB50" s="41">
        <f t="shared" si="1"/>
        <v>503780.90999999642</v>
      </c>
      <c r="AC50" s="31"/>
      <c r="AD50" s="38"/>
      <c r="AE50" s="31"/>
      <c r="AF50" s="31"/>
      <c r="AG50" s="31"/>
      <c r="AH50" s="31"/>
      <c r="AI50" s="31">
        <v>-467582</v>
      </c>
      <c r="AJ50" s="31"/>
      <c r="AK50" s="41">
        <f t="shared" si="2"/>
        <v>-467582</v>
      </c>
    </row>
    <row r="51" spans="1:37" s="2" customFormat="1" ht="23.25" customHeight="1">
      <c r="A51" s="51" t="s">
        <v>53</v>
      </c>
      <c r="B51" s="11" t="s">
        <v>54</v>
      </c>
      <c r="C51" s="28" t="s">
        <v>48</v>
      </c>
      <c r="D51" s="11" t="s">
        <v>399</v>
      </c>
      <c r="E51" s="46" t="s">
        <v>387</v>
      </c>
      <c r="F51" s="30">
        <v>0</v>
      </c>
      <c r="G51" s="31">
        <v>0</v>
      </c>
      <c r="H51" s="31">
        <v>0</v>
      </c>
      <c r="I51" s="31">
        <v>0</v>
      </c>
      <c r="J51" s="31">
        <v>0</v>
      </c>
      <c r="K51" s="32"/>
      <c r="L51" s="36">
        <v>39311</v>
      </c>
      <c r="M51" s="31">
        <v>59108</v>
      </c>
      <c r="N51" s="31">
        <v>61048</v>
      </c>
      <c r="O51" s="31"/>
      <c r="P51" s="33">
        <v>59788</v>
      </c>
      <c r="Q51" s="31"/>
      <c r="R51" s="35">
        <v>25754</v>
      </c>
      <c r="S51" s="31">
        <v>124167</v>
      </c>
      <c r="T51" s="31">
        <v>22903.208717145902</v>
      </c>
      <c r="U51" s="31"/>
      <c r="V51" s="34">
        <v>0</v>
      </c>
      <c r="W51" s="31"/>
      <c r="X51" s="36">
        <v>0</v>
      </c>
      <c r="Y51" s="31"/>
      <c r="Z51" s="37">
        <v>-16470</v>
      </c>
      <c r="AA51" s="31"/>
      <c r="AB51" s="40">
        <f t="shared" si="1"/>
        <v>108383</v>
      </c>
      <c r="AC51" s="31"/>
      <c r="AD51" s="38"/>
      <c r="AE51" s="31"/>
      <c r="AF51" s="39"/>
      <c r="AG51" s="39"/>
      <c r="AH51" s="39">
        <v>25000</v>
      </c>
      <c r="AI51" s="39">
        <v>-85165</v>
      </c>
      <c r="AJ51" s="31"/>
      <c r="AK51" s="40">
        <f t="shared" si="2"/>
        <v>-60165</v>
      </c>
    </row>
    <row r="52" spans="1:37" s="2" customFormat="1" ht="23.25" customHeight="1">
      <c r="A52" s="51" t="s">
        <v>446</v>
      </c>
      <c r="B52" s="14" t="s">
        <v>434</v>
      </c>
      <c r="C52" s="29" t="s">
        <v>435</v>
      </c>
      <c r="D52" s="15" t="s">
        <v>399</v>
      </c>
      <c r="E52" s="46" t="s">
        <v>387</v>
      </c>
      <c r="F52" s="31">
        <v>-111508.48000001907</v>
      </c>
      <c r="G52" s="31">
        <v>0</v>
      </c>
      <c r="H52" s="31">
        <v>0</v>
      </c>
      <c r="I52" s="31">
        <v>0</v>
      </c>
      <c r="J52" s="31">
        <v>0</v>
      </c>
      <c r="K52" s="31"/>
      <c r="L52" s="31">
        <v>2417509</v>
      </c>
      <c r="M52" s="31">
        <v>265986</v>
      </c>
      <c r="N52" s="31">
        <v>274716</v>
      </c>
      <c r="O52" s="31"/>
      <c r="P52" s="31">
        <v>1434912</v>
      </c>
      <c r="Q52" s="31"/>
      <c r="R52" s="31">
        <v>628898</v>
      </c>
      <c r="S52" s="31">
        <v>1494069</v>
      </c>
      <c r="T52" s="31">
        <v>263890.86267949449</v>
      </c>
      <c r="U52" s="31"/>
      <c r="V52" s="31">
        <v>440395</v>
      </c>
      <c r="W52" s="31"/>
      <c r="X52" s="31">
        <v>73077</v>
      </c>
      <c r="Y52" s="31"/>
      <c r="Z52" s="31">
        <v>-304982</v>
      </c>
      <c r="AA52" s="31"/>
      <c r="AB52" s="41">
        <f t="shared" si="1"/>
        <v>4578300.5199999809</v>
      </c>
      <c r="AC52" s="31"/>
      <c r="AD52" s="38"/>
      <c r="AE52" s="31"/>
      <c r="AF52" s="31"/>
      <c r="AG52" s="31"/>
      <c r="AH52" s="31">
        <v>330000</v>
      </c>
      <c r="AI52" s="31">
        <v>-1173277</v>
      </c>
      <c r="AJ52" s="31"/>
      <c r="AK52" s="41">
        <f t="shared" si="2"/>
        <v>-843277</v>
      </c>
    </row>
    <row r="53" spans="1:37" s="2" customFormat="1" ht="23.25" customHeight="1">
      <c r="A53" s="51" t="s">
        <v>125</v>
      </c>
      <c r="B53" s="11" t="s">
        <v>126</v>
      </c>
      <c r="C53" s="28" t="s">
        <v>8</v>
      </c>
      <c r="D53" s="11" t="s">
        <v>399</v>
      </c>
      <c r="E53" s="46" t="s">
        <v>387</v>
      </c>
      <c r="F53" s="30">
        <v>18129.759999997914</v>
      </c>
      <c r="G53" s="31">
        <v>0</v>
      </c>
      <c r="H53" s="31">
        <v>0</v>
      </c>
      <c r="I53" s="31">
        <v>0</v>
      </c>
      <c r="J53" s="31">
        <v>0</v>
      </c>
      <c r="K53" s="32"/>
      <c r="L53" s="36">
        <v>353577</v>
      </c>
      <c r="M53" s="31">
        <v>147770</v>
      </c>
      <c r="N53" s="31">
        <v>152620</v>
      </c>
      <c r="O53" s="31"/>
      <c r="P53" s="33">
        <v>149470</v>
      </c>
      <c r="Q53" s="31"/>
      <c r="R53" s="35">
        <v>90382</v>
      </c>
      <c r="S53" s="31">
        <v>481884</v>
      </c>
      <c r="T53" s="31">
        <v>109974.09487207305</v>
      </c>
      <c r="U53" s="31"/>
      <c r="V53" s="34">
        <v>123849</v>
      </c>
      <c r="W53" s="31"/>
      <c r="X53" s="36">
        <v>0</v>
      </c>
      <c r="Y53" s="31"/>
      <c r="Z53" s="37">
        <v>-15112</v>
      </c>
      <c r="AA53" s="31"/>
      <c r="AB53" s="40">
        <f t="shared" si="1"/>
        <v>720295.75999999791</v>
      </c>
      <c r="AC53" s="31"/>
      <c r="AD53" s="38"/>
      <c r="AE53" s="31"/>
      <c r="AF53" s="39"/>
      <c r="AG53" s="39"/>
      <c r="AH53" s="39">
        <v>100000</v>
      </c>
      <c r="AI53" s="39">
        <v>-481451</v>
      </c>
      <c r="AJ53" s="31"/>
      <c r="AK53" s="40">
        <f t="shared" si="2"/>
        <v>-381451</v>
      </c>
    </row>
    <row r="54" spans="1:37" s="2" customFormat="1" ht="23.25" customHeight="1">
      <c r="A54" s="51" t="s">
        <v>214</v>
      </c>
      <c r="B54" s="14" t="s">
        <v>215</v>
      </c>
      <c r="C54" s="29" t="s">
        <v>8</v>
      </c>
      <c r="D54" s="15" t="s">
        <v>399</v>
      </c>
      <c r="E54" s="46" t="s">
        <v>387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/>
      <c r="L54" s="31">
        <v>616230</v>
      </c>
      <c r="M54" s="31">
        <v>177324</v>
      </c>
      <c r="N54" s="31">
        <v>152620</v>
      </c>
      <c r="O54" s="31"/>
      <c r="P54" s="31">
        <v>149470</v>
      </c>
      <c r="Q54" s="31"/>
      <c r="R54" s="31">
        <v>119806</v>
      </c>
      <c r="S54" s="31">
        <v>638777</v>
      </c>
      <c r="T54" s="31">
        <v>144416.45826383738</v>
      </c>
      <c r="U54" s="31"/>
      <c r="V54" s="31">
        <v>47005</v>
      </c>
      <c r="W54" s="31"/>
      <c r="X54" s="31">
        <v>0</v>
      </c>
      <c r="Y54" s="31"/>
      <c r="Z54" s="31">
        <v>-3528</v>
      </c>
      <c r="AA54" s="31"/>
      <c r="AB54" s="41">
        <f t="shared" si="1"/>
        <v>928983</v>
      </c>
      <c r="AC54" s="31"/>
      <c r="AD54" s="38"/>
      <c r="AE54" s="31"/>
      <c r="AF54" s="31"/>
      <c r="AG54" s="31"/>
      <c r="AH54" s="31">
        <v>300000</v>
      </c>
      <c r="AI54" s="31">
        <v>-528965</v>
      </c>
      <c r="AJ54" s="31"/>
      <c r="AK54" s="41">
        <f t="shared" si="2"/>
        <v>-228965</v>
      </c>
    </row>
    <row r="55" spans="1:37" s="2" customFormat="1" ht="23.25" customHeight="1">
      <c r="A55" s="51" t="s">
        <v>244</v>
      </c>
      <c r="B55" s="11" t="s">
        <v>245</v>
      </c>
      <c r="C55" s="28" t="s">
        <v>28</v>
      </c>
      <c r="D55" s="11" t="s">
        <v>399</v>
      </c>
      <c r="E55" s="46" t="s">
        <v>387</v>
      </c>
      <c r="F55" s="30">
        <v>0</v>
      </c>
      <c r="G55" s="31">
        <v>0</v>
      </c>
      <c r="H55" s="31">
        <v>0</v>
      </c>
      <c r="I55" s="31">
        <v>0</v>
      </c>
      <c r="J55" s="31">
        <v>0</v>
      </c>
      <c r="K55" s="32"/>
      <c r="L55" s="36">
        <v>0</v>
      </c>
      <c r="M55" s="31" t="s">
        <v>387</v>
      </c>
      <c r="N55" s="31">
        <v>0</v>
      </c>
      <c r="O55" s="31"/>
      <c r="P55" s="33">
        <v>0</v>
      </c>
      <c r="Q55" s="31"/>
      <c r="R55" s="35">
        <v>364</v>
      </c>
      <c r="S55" s="31">
        <v>6141</v>
      </c>
      <c r="T55" s="31">
        <v>0</v>
      </c>
      <c r="U55" s="31"/>
      <c r="V55" s="34">
        <v>0</v>
      </c>
      <c r="W55" s="31"/>
      <c r="X55" s="36">
        <v>0</v>
      </c>
      <c r="Y55" s="31"/>
      <c r="Z55" s="37" t="s">
        <v>387</v>
      </c>
      <c r="AA55" s="31"/>
      <c r="AB55" s="40">
        <f t="shared" si="1"/>
        <v>364</v>
      </c>
      <c r="AC55" s="31"/>
      <c r="AD55" s="38"/>
      <c r="AE55" s="31"/>
      <c r="AF55" s="39"/>
      <c r="AG55" s="39"/>
      <c r="AH55" s="39"/>
      <c r="AI55" s="39">
        <v>-6741</v>
      </c>
      <c r="AJ55" s="31"/>
      <c r="AK55" s="40">
        <f t="shared" si="2"/>
        <v>-6741</v>
      </c>
    </row>
    <row r="56" spans="1:37" s="2" customFormat="1" ht="23.25" customHeight="1">
      <c r="A56" s="51" t="s">
        <v>246</v>
      </c>
      <c r="B56" s="14" t="s">
        <v>247</v>
      </c>
      <c r="C56" s="29" t="s">
        <v>28</v>
      </c>
      <c r="D56" s="15" t="s">
        <v>399</v>
      </c>
      <c r="E56" s="46" t="s">
        <v>387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/>
      <c r="L56" s="31">
        <v>0</v>
      </c>
      <c r="M56" s="31" t="s">
        <v>387</v>
      </c>
      <c r="N56" s="31">
        <v>0</v>
      </c>
      <c r="O56" s="31"/>
      <c r="P56" s="31">
        <v>0</v>
      </c>
      <c r="Q56" s="31"/>
      <c r="R56" s="31">
        <v>81</v>
      </c>
      <c r="S56" s="31">
        <v>1372</v>
      </c>
      <c r="T56" s="31">
        <v>0</v>
      </c>
      <c r="U56" s="31"/>
      <c r="V56" s="31">
        <v>0</v>
      </c>
      <c r="W56" s="31"/>
      <c r="X56" s="31">
        <v>0</v>
      </c>
      <c r="Y56" s="31"/>
      <c r="Z56" s="31">
        <v>-610</v>
      </c>
      <c r="AA56" s="31"/>
      <c r="AB56" s="41">
        <f t="shared" si="1"/>
        <v>-529</v>
      </c>
      <c r="AC56" s="31"/>
      <c r="AD56" s="38"/>
      <c r="AE56" s="31"/>
      <c r="AF56" s="31"/>
      <c r="AG56" s="31"/>
      <c r="AH56" s="31">
        <v>35000</v>
      </c>
      <c r="AI56" s="31">
        <v>-21271</v>
      </c>
      <c r="AJ56" s="31"/>
      <c r="AK56" s="41">
        <f t="shared" si="2"/>
        <v>13729</v>
      </c>
    </row>
    <row r="57" spans="1:37" s="2" customFormat="1" ht="23.25" customHeight="1">
      <c r="A57" s="51" t="s">
        <v>248</v>
      </c>
      <c r="B57" s="11" t="s">
        <v>249</v>
      </c>
      <c r="C57" s="28" t="s">
        <v>28</v>
      </c>
      <c r="D57" s="11" t="s">
        <v>399</v>
      </c>
      <c r="E57" s="46" t="s">
        <v>387</v>
      </c>
      <c r="F57" s="30">
        <v>0</v>
      </c>
      <c r="G57" s="31">
        <v>0</v>
      </c>
      <c r="H57" s="31">
        <v>0</v>
      </c>
      <c r="I57" s="31">
        <v>0</v>
      </c>
      <c r="J57" s="31">
        <v>0</v>
      </c>
      <c r="K57" s="32"/>
      <c r="L57" s="36">
        <v>0</v>
      </c>
      <c r="M57" s="31" t="s">
        <v>387</v>
      </c>
      <c r="N57" s="31" t="s">
        <v>387</v>
      </c>
      <c r="O57" s="31"/>
      <c r="P57" s="33">
        <v>0</v>
      </c>
      <c r="Q57" s="31"/>
      <c r="R57" s="35">
        <v>173</v>
      </c>
      <c r="S57" s="31">
        <v>2920</v>
      </c>
      <c r="T57" s="31">
        <v>0</v>
      </c>
      <c r="U57" s="31"/>
      <c r="V57" s="34">
        <v>0</v>
      </c>
      <c r="W57" s="31"/>
      <c r="X57" s="36">
        <v>0</v>
      </c>
      <c r="Y57" s="31"/>
      <c r="Z57" s="37">
        <v>3660</v>
      </c>
      <c r="AA57" s="31"/>
      <c r="AB57" s="40">
        <f t="shared" si="1"/>
        <v>3833</v>
      </c>
      <c r="AC57" s="31"/>
      <c r="AD57" s="38"/>
      <c r="AE57" s="31"/>
      <c r="AF57" s="39"/>
      <c r="AG57" s="39"/>
      <c r="AH57" s="39">
        <v>160000</v>
      </c>
      <c r="AI57" s="39">
        <v>-29141</v>
      </c>
      <c r="AJ57" s="31"/>
      <c r="AK57" s="40">
        <f t="shared" si="2"/>
        <v>130859</v>
      </c>
    </row>
    <row r="58" spans="1:37" s="2" customFormat="1" ht="23.25" customHeight="1">
      <c r="A58" s="51" t="s">
        <v>250</v>
      </c>
      <c r="B58" s="14" t="s">
        <v>440</v>
      </c>
      <c r="C58" s="29" t="s">
        <v>43</v>
      </c>
      <c r="D58" s="15" t="s">
        <v>399</v>
      </c>
      <c r="E58" s="46" t="s">
        <v>387</v>
      </c>
      <c r="F58" s="31">
        <v>39338.089999999851</v>
      </c>
      <c r="G58" s="31">
        <v>0</v>
      </c>
      <c r="H58" s="31">
        <v>0</v>
      </c>
      <c r="I58" s="31">
        <v>0</v>
      </c>
      <c r="J58" s="31">
        <v>23643658</v>
      </c>
      <c r="K58" s="31"/>
      <c r="L58" s="31">
        <v>68016</v>
      </c>
      <c r="M58" s="31" t="s">
        <v>387</v>
      </c>
      <c r="N58" s="31">
        <v>91572</v>
      </c>
      <c r="O58" s="31"/>
      <c r="P58" s="31">
        <v>89682</v>
      </c>
      <c r="Q58" s="31"/>
      <c r="R58" s="31">
        <v>26662</v>
      </c>
      <c r="S58" s="31">
        <v>0</v>
      </c>
      <c r="T58" s="31">
        <v>0</v>
      </c>
      <c r="U58" s="31"/>
      <c r="V58" s="31">
        <v>37059</v>
      </c>
      <c r="W58" s="31"/>
      <c r="X58" s="31">
        <v>0</v>
      </c>
      <c r="Y58" s="31"/>
      <c r="Z58" s="31">
        <v>604160</v>
      </c>
      <c r="AA58" s="31"/>
      <c r="AB58" s="41">
        <f t="shared" si="1"/>
        <v>864917.08999999985</v>
      </c>
      <c r="AC58" s="31"/>
      <c r="AD58" s="38"/>
      <c r="AE58" s="31"/>
      <c r="AF58" s="31"/>
      <c r="AG58" s="31"/>
      <c r="AH58" s="31"/>
      <c r="AI58" s="31">
        <v>-140628</v>
      </c>
      <c r="AJ58" s="31"/>
      <c r="AK58" s="41">
        <f t="shared" si="2"/>
        <v>-140628</v>
      </c>
    </row>
    <row r="59" spans="1:37" s="2" customFormat="1" ht="23.25" customHeight="1">
      <c r="A59" s="51" t="s">
        <v>124</v>
      </c>
      <c r="B59" s="11" t="s">
        <v>400</v>
      </c>
      <c r="C59" s="28" t="s">
        <v>38</v>
      </c>
      <c r="D59" s="11" t="s">
        <v>400</v>
      </c>
      <c r="E59" s="46" t="s">
        <v>387</v>
      </c>
      <c r="F59" s="30">
        <v>95719.589999988675</v>
      </c>
      <c r="G59" s="31">
        <v>-7162.1003332209302</v>
      </c>
      <c r="H59" s="31">
        <v>0</v>
      </c>
      <c r="I59" s="31">
        <v>-213333</v>
      </c>
      <c r="J59" s="31">
        <v>3720780.31</v>
      </c>
      <c r="K59" s="32"/>
      <c r="L59" s="36">
        <v>403799</v>
      </c>
      <c r="M59" s="31">
        <v>177324</v>
      </c>
      <c r="N59" s="31">
        <v>91572</v>
      </c>
      <c r="O59" s="31"/>
      <c r="P59" s="33">
        <v>119576</v>
      </c>
      <c r="Q59" s="31"/>
      <c r="R59" s="35">
        <v>191313</v>
      </c>
      <c r="S59" s="31">
        <v>886562</v>
      </c>
      <c r="T59" s="31">
        <v>186015.1925364701</v>
      </c>
      <c r="U59" s="31"/>
      <c r="V59" s="34">
        <v>0</v>
      </c>
      <c r="W59" s="31"/>
      <c r="X59" s="36">
        <v>48718</v>
      </c>
      <c r="Y59" s="31"/>
      <c r="Z59" s="37">
        <v>71288</v>
      </c>
      <c r="AA59" s="31"/>
      <c r="AB59" s="40">
        <f t="shared" si="1"/>
        <v>930413.58999998868</v>
      </c>
      <c r="AC59" s="31"/>
      <c r="AD59" s="38"/>
      <c r="AE59" s="31"/>
      <c r="AF59" s="39"/>
      <c r="AG59" s="39"/>
      <c r="AH59" s="39">
        <v>200000</v>
      </c>
      <c r="AI59" s="39">
        <v>-653016</v>
      </c>
      <c r="AJ59" s="31"/>
      <c r="AK59" s="40">
        <f t="shared" si="2"/>
        <v>-453016</v>
      </c>
    </row>
    <row r="60" spans="1:37" s="2" customFormat="1" ht="23.25" customHeight="1">
      <c r="A60" s="51" t="s">
        <v>55</v>
      </c>
      <c r="B60" s="14" t="s">
        <v>56</v>
      </c>
      <c r="C60" s="29" t="s">
        <v>11</v>
      </c>
      <c r="D60" s="15" t="s">
        <v>401</v>
      </c>
      <c r="E60" s="46" t="s">
        <v>387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/>
      <c r="L60" s="31">
        <v>164198</v>
      </c>
      <c r="M60" s="31" t="s">
        <v>387</v>
      </c>
      <c r="N60" s="31" t="s">
        <v>387</v>
      </c>
      <c r="O60" s="31"/>
      <c r="P60" s="31">
        <v>0</v>
      </c>
      <c r="Q60" s="31"/>
      <c r="R60" s="31">
        <v>31266</v>
      </c>
      <c r="S60" s="31">
        <v>180457</v>
      </c>
      <c r="T60" s="31">
        <v>40591.31272255956</v>
      </c>
      <c r="U60" s="31"/>
      <c r="V60" s="31">
        <v>7371</v>
      </c>
      <c r="W60" s="31"/>
      <c r="X60" s="31">
        <v>0</v>
      </c>
      <c r="Y60" s="31"/>
      <c r="Z60" s="31">
        <v>10588</v>
      </c>
      <c r="AA60" s="31"/>
      <c r="AB60" s="41">
        <f t="shared" si="1"/>
        <v>213423</v>
      </c>
      <c r="AC60" s="31"/>
      <c r="AD60" s="38"/>
      <c r="AE60" s="31"/>
      <c r="AF60" s="31"/>
      <c r="AG60" s="31"/>
      <c r="AH60" s="31">
        <v>300000</v>
      </c>
      <c r="AI60" s="31">
        <v>-109493</v>
      </c>
      <c r="AJ60" s="31"/>
      <c r="AK60" s="41">
        <f t="shared" si="2"/>
        <v>190507</v>
      </c>
    </row>
    <row r="61" spans="1:37" s="2" customFormat="1" ht="23.25" customHeight="1">
      <c r="A61" s="51" t="s">
        <v>74</v>
      </c>
      <c r="B61" s="11" t="s">
        <v>75</v>
      </c>
      <c r="C61" s="28" t="s">
        <v>8</v>
      </c>
      <c r="D61" s="11" t="s">
        <v>401</v>
      </c>
      <c r="E61" s="46" t="s">
        <v>387</v>
      </c>
      <c r="F61" s="30">
        <v>18156.84999999404</v>
      </c>
      <c r="G61" s="31">
        <v>0</v>
      </c>
      <c r="H61" s="31">
        <v>0</v>
      </c>
      <c r="I61" s="31">
        <v>0</v>
      </c>
      <c r="J61" s="31">
        <v>0</v>
      </c>
      <c r="K61" s="32"/>
      <c r="L61" s="36">
        <v>473097</v>
      </c>
      <c r="M61" s="31" t="s">
        <v>387</v>
      </c>
      <c r="N61" s="31" t="s">
        <v>387</v>
      </c>
      <c r="O61" s="31"/>
      <c r="P61" s="33">
        <v>0</v>
      </c>
      <c r="Q61" s="31"/>
      <c r="R61" s="35">
        <v>84008</v>
      </c>
      <c r="S61" s="31">
        <v>726413</v>
      </c>
      <c r="T61" s="31">
        <v>129779.9034371364</v>
      </c>
      <c r="U61" s="31"/>
      <c r="V61" s="34">
        <v>10064</v>
      </c>
      <c r="W61" s="31"/>
      <c r="X61" s="36">
        <v>0</v>
      </c>
      <c r="Y61" s="31"/>
      <c r="Z61" s="37" t="s">
        <v>387</v>
      </c>
      <c r="AA61" s="31"/>
      <c r="AB61" s="40">
        <f t="shared" si="1"/>
        <v>585325.84999999404</v>
      </c>
      <c r="AC61" s="31"/>
      <c r="AD61" s="38"/>
      <c r="AE61" s="31"/>
      <c r="AF61" s="39"/>
      <c r="AG61" s="39"/>
      <c r="AH61" s="39">
        <v>150000</v>
      </c>
      <c r="AI61" s="39">
        <v>-80991</v>
      </c>
      <c r="AJ61" s="31"/>
      <c r="AK61" s="40">
        <f t="shared" si="2"/>
        <v>69009</v>
      </c>
    </row>
    <row r="62" spans="1:37" s="2" customFormat="1" ht="23.25" customHeight="1">
      <c r="A62" s="51" t="s">
        <v>129</v>
      </c>
      <c r="B62" s="14" t="s">
        <v>130</v>
      </c>
      <c r="C62" s="29" t="s">
        <v>38</v>
      </c>
      <c r="D62" s="15" t="s">
        <v>401</v>
      </c>
      <c r="E62" s="46" t="s">
        <v>387</v>
      </c>
      <c r="F62" s="31">
        <v>-163683.77000004053</v>
      </c>
      <c r="G62" s="31">
        <v>-132794.02527589904</v>
      </c>
      <c r="H62" s="31">
        <v>48566.394701570003</v>
      </c>
      <c r="I62" s="31">
        <v>-406667</v>
      </c>
      <c r="J62" s="31">
        <v>0</v>
      </c>
      <c r="K62" s="31"/>
      <c r="L62" s="31">
        <v>1046077</v>
      </c>
      <c r="M62" s="31">
        <v>591080</v>
      </c>
      <c r="N62" s="31">
        <v>610480</v>
      </c>
      <c r="O62" s="31"/>
      <c r="P62" s="31">
        <v>627774</v>
      </c>
      <c r="Q62" s="31"/>
      <c r="R62" s="31">
        <v>423475</v>
      </c>
      <c r="S62" s="31">
        <v>2104052</v>
      </c>
      <c r="T62" s="31">
        <v>423261.32351087261</v>
      </c>
      <c r="U62" s="31"/>
      <c r="V62" s="31">
        <v>71425</v>
      </c>
      <c r="W62" s="31"/>
      <c r="X62" s="31">
        <v>73077</v>
      </c>
      <c r="Y62" s="31"/>
      <c r="Z62" s="31">
        <v>370826</v>
      </c>
      <c r="AA62" s="31"/>
      <c r="AB62" s="41">
        <f t="shared" si="1"/>
        <v>2448970.2299999595</v>
      </c>
      <c r="AC62" s="31"/>
      <c r="AD62" s="38"/>
      <c r="AE62" s="31"/>
      <c r="AF62" s="31"/>
      <c r="AG62" s="31"/>
      <c r="AH62" s="31">
        <v>200000</v>
      </c>
      <c r="AI62" s="31">
        <v>-1756309</v>
      </c>
      <c r="AJ62" s="31"/>
      <c r="AK62" s="41">
        <f t="shared" si="2"/>
        <v>-1556309</v>
      </c>
    </row>
    <row r="63" spans="1:37" s="2" customFormat="1" ht="23.25" customHeight="1">
      <c r="A63" s="51" t="s">
        <v>131</v>
      </c>
      <c r="B63" s="11" t="s">
        <v>132</v>
      </c>
      <c r="C63" s="28" t="s">
        <v>48</v>
      </c>
      <c r="D63" s="11" t="s">
        <v>401</v>
      </c>
      <c r="E63" s="46" t="s">
        <v>387</v>
      </c>
      <c r="F63" s="30">
        <v>18156.850000008941</v>
      </c>
      <c r="G63" s="31">
        <v>0</v>
      </c>
      <c r="H63" s="31">
        <v>-43392.107799999998</v>
      </c>
      <c r="I63" s="31">
        <v>0</v>
      </c>
      <c r="J63" s="31">
        <v>0</v>
      </c>
      <c r="K63" s="32"/>
      <c r="L63" s="36">
        <v>180826</v>
      </c>
      <c r="M63" s="31">
        <v>443310</v>
      </c>
      <c r="N63" s="31">
        <v>366288</v>
      </c>
      <c r="O63" s="31"/>
      <c r="P63" s="33">
        <v>388622</v>
      </c>
      <c r="Q63" s="31"/>
      <c r="R63" s="35">
        <v>181921</v>
      </c>
      <c r="S63" s="31">
        <v>796346</v>
      </c>
      <c r="T63" s="31">
        <v>173924.59146359604</v>
      </c>
      <c r="U63" s="31"/>
      <c r="V63" s="34">
        <v>189652</v>
      </c>
      <c r="W63" s="31"/>
      <c r="X63" s="36">
        <v>0</v>
      </c>
      <c r="Y63" s="31"/>
      <c r="Z63" s="37">
        <v>-68912</v>
      </c>
      <c r="AA63" s="31"/>
      <c r="AB63" s="40">
        <f t="shared" si="1"/>
        <v>890265.85000000894</v>
      </c>
      <c r="AC63" s="31"/>
      <c r="AD63" s="38"/>
      <c r="AE63" s="31"/>
      <c r="AF63" s="39"/>
      <c r="AG63" s="39"/>
      <c r="AH63" s="39">
        <v>100000</v>
      </c>
      <c r="AI63" s="39">
        <v>-810673</v>
      </c>
      <c r="AJ63" s="31"/>
      <c r="AK63" s="40">
        <f t="shared" si="2"/>
        <v>-710673</v>
      </c>
    </row>
    <row r="64" spans="1:37" s="2" customFormat="1" ht="23.25" customHeight="1">
      <c r="A64" s="51" t="s">
        <v>133</v>
      </c>
      <c r="B64" s="14" t="s">
        <v>134</v>
      </c>
      <c r="C64" s="29" t="s">
        <v>8</v>
      </c>
      <c r="D64" s="15" t="s">
        <v>401</v>
      </c>
      <c r="E64" s="46" t="s">
        <v>387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/>
      <c r="L64" s="31">
        <v>245798</v>
      </c>
      <c r="M64" s="31">
        <v>502418</v>
      </c>
      <c r="N64" s="31">
        <v>518908</v>
      </c>
      <c r="O64" s="31"/>
      <c r="P64" s="31">
        <v>508198</v>
      </c>
      <c r="Q64" s="31"/>
      <c r="R64" s="31">
        <v>136127</v>
      </c>
      <c r="S64" s="31">
        <v>675679</v>
      </c>
      <c r="T64" s="31">
        <v>126142.72471549608</v>
      </c>
      <c r="U64" s="31"/>
      <c r="V64" s="31">
        <v>153839</v>
      </c>
      <c r="W64" s="31"/>
      <c r="X64" s="31">
        <v>0</v>
      </c>
      <c r="Y64" s="31"/>
      <c r="Z64" s="31">
        <v>89296</v>
      </c>
      <c r="AA64" s="31"/>
      <c r="AB64" s="41">
        <f t="shared" si="1"/>
        <v>1133258</v>
      </c>
      <c r="AC64" s="31"/>
      <c r="AD64" s="38"/>
      <c r="AE64" s="31"/>
      <c r="AF64" s="31"/>
      <c r="AG64" s="31"/>
      <c r="AH64" s="31">
        <v>142500</v>
      </c>
      <c r="AI64" s="31">
        <v>-634384</v>
      </c>
      <c r="AJ64" s="31"/>
      <c r="AK64" s="41">
        <f t="shared" si="2"/>
        <v>-491884</v>
      </c>
    </row>
    <row r="65" spans="1:37" s="2" customFormat="1" ht="23.25" customHeight="1">
      <c r="A65" s="51" t="s">
        <v>189</v>
      </c>
      <c r="B65" s="11" t="s">
        <v>190</v>
      </c>
      <c r="C65" s="28" t="s">
        <v>38</v>
      </c>
      <c r="D65" s="11" t="s">
        <v>401</v>
      </c>
      <c r="E65" s="46" t="s">
        <v>387</v>
      </c>
      <c r="F65" s="30">
        <v>-160009.57999999821</v>
      </c>
      <c r="G65" s="31">
        <v>112316.20250852659</v>
      </c>
      <c r="H65" s="31">
        <v>0</v>
      </c>
      <c r="I65" s="31">
        <v>-240000</v>
      </c>
      <c r="J65" s="31">
        <v>0</v>
      </c>
      <c r="K65" s="32"/>
      <c r="L65" s="36">
        <v>548725</v>
      </c>
      <c r="M65" s="31">
        <v>443310</v>
      </c>
      <c r="N65" s="31">
        <v>488384</v>
      </c>
      <c r="O65" s="31"/>
      <c r="P65" s="33">
        <v>478304</v>
      </c>
      <c r="Q65" s="31"/>
      <c r="R65" s="35">
        <v>149541</v>
      </c>
      <c r="S65" s="31">
        <v>796402</v>
      </c>
      <c r="T65" s="31">
        <v>136014.72144141461</v>
      </c>
      <c r="U65" s="31"/>
      <c r="V65" s="34">
        <v>209578</v>
      </c>
      <c r="W65" s="31"/>
      <c r="X65" s="36">
        <v>48718</v>
      </c>
      <c r="Y65" s="31"/>
      <c r="Z65" s="37">
        <v>27442</v>
      </c>
      <c r="AA65" s="31"/>
      <c r="AB65" s="40">
        <f t="shared" si="1"/>
        <v>1302298.4200000018</v>
      </c>
      <c r="AC65" s="31"/>
      <c r="AD65" s="38"/>
      <c r="AE65" s="31"/>
      <c r="AF65" s="39"/>
      <c r="AG65" s="39"/>
      <c r="AH65" s="39">
        <v>200000</v>
      </c>
      <c r="AI65" s="39">
        <v>-575515</v>
      </c>
      <c r="AJ65" s="31"/>
      <c r="AK65" s="40">
        <f t="shared" si="2"/>
        <v>-375515</v>
      </c>
    </row>
    <row r="66" spans="1:37" s="2" customFormat="1" ht="23.25" customHeight="1">
      <c r="A66" s="51" t="s">
        <v>251</v>
      </c>
      <c r="B66" s="14" t="s">
        <v>252</v>
      </c>
      <c r="C66" s="29" t="s">
        <v>28</v>
      </c>
      <c r="D66" s="15" t="s">
        <v>401</v>
      </c>
      <c r="E66" s="46" t="s">
        <v>387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/>
      <c r="L66" s="31">
        <v>0</v>
      </c>
      <c r="M66" s="31" t="s">
        <v>387</v>
      </c>
      <c r="N66" s="31">
        <v>0</v>
      </c>
      <c r="O66" s="31"/>
      <c r="P66" s="31">
        <v>0</v>
      </c>
      <c r="Q66" s="31"/>
      <c r="R66" s="31">
        <v>344</v>
      </c>
      <c r="S66" s="31">
        <v>5816</v>
      </c>
      <c r="T66" s="31">
        <v>0</v>
      </c>
      <c r="U66" s="31"/>
      <c r="V66" s="31">
        <v>0</v>
      </c>
      <c r="W66" s="31"/>
      <c r="X66" s="31">
        <v>0</v>
      </c>
      <c r="Y66" s="31"/>
      <c r="Z66" s="31" t="s">
        <v>387</v>
      </c>
      <c r="AA66" s="31"/>
      <c r="AB66" s="41">
        <f t="shared" si="1"/>
        <v>344</v>
      </c>
      <c r="AC66" s="31"/>
      <c r="AD66" s="38"/>
      <c r="AE66" s="31"/>
      <c r="AF66" s="31"/>
      <c r="AG66" s="31"/>
      <c r="AH66" s="31">
        <v>0</v>
      </c>
      <c r="AI66" s="31">
        <v>-7939</v>
      </c>
      <c r="AJ66" s="31"/>
      <c r="AK66" s="41">
        <f t="shared" si="2"/>
        <v>-7939</v>
      </c>
    </row>
    <row r="67" spans="1:37" s="2" customFormat="1" ht="23.25" customHeight="1">
      <c r="A67" s="51" t="s">
        <v>253</v>
      </c>
      <c r="B67" s="11" t="s">
        <v>254</v>
      </c>
      <c r="C67" s="28" t="s">
        <v>28</v>
      </c>
      <c r="D67" s="11" t="s">
        <v>401</v>
      </c>
      <c r="E67" s="46" t="s">
        <v>387</v>
      </c>
      <c r="F67" s="30">
        <v>0</v>
      </c>
      <c r="G67" s="31">
        <v>0</v>
      </c>
      <c r="H67" s="31">
        <v>0</v>
      </c>
      <c r="I67" s="31">
        <v>0</v>
      </c>
      <c r="J67" s="31">
        <v>-10498</v>
      </c>
      <c r="K67" s="32"/>
      <c r="L67" s="36">
        <v>0</v>
      </c>
      <c r="M67" s="31" t="s">
        <v>387</v>
      </c>
      <c r="N67" s="31">
        <v>0</v>
      </c>
      <c r="O67" s="31"/>
      <c r="P67" s="33">
        <v>0</v>
      </c>
      <c r="Q67" s="31"/>
      <c r="R67" s="35">
        <v>187</v>
      </c>
      <c r="S67" s="31">
        <v>3145</v>
      </c>
      <c r="T67" s="31">
        <v>0</v>
      </c>
      <c r="U67" s="31"/>
      <c r="V67" s="34">
        <v>0</v>
      </c>
      <c r="W67" s="31"/>
      <c r="X67" s="36">
        <v>0</v>
      </c>
      <c r="Y67" s="31"/>
      <c r="Z67" s="37">
        <v>-9150</v>
      </c>
      <c r="AA67" s="31"/>
      <c r="AB67" s="40">
        <f t="shared" si="1"/>
        <v>-8963</v>
      </c>
      <c r="AC67" s="31"/>
      <c r="AD67" s="38"/>
      <c r="AE67" s="31"/>
      <c r="AF67" s="39"/>
      <c r="AG67" s="39"/>
      <c r="AH67" s="39">
        <v>7500</v>
      </c>
      <c r="AI67" s="39">
        <v>-37244</v>
      </c>
      <c r="AJ67" s="31"/>
      <c r="AK67" s="40">
        <f t="shared" si="2"/>
        <v>-29744</v>
      </c>
    </row>
    <row r="68" spans="1:37" s="2" customFormat="1" ht="23.25" customHeight="1">
      <c r="A68" s="51" t="s">
        <v>255</v>
      </c>
      <c r="B68" s="14" t="s">
        <v>256</v>
      </c>
      <c r="C68" s="29" t="s">
        <v>28</v>
      </c>
      <c r="D68" s="15" t="s">
        <v>401</v>
      </c>
      <c r="E68" s="46" t="s">
        <v>387</v>
      </c>
      <c r="F68" s="31">
        <v>18156.849999999627</v>
      </c>
      <c r="G68" s="31">
        <v>0</v>
      </c>
      <c r="H68" s="31">
        <v>0</v>
      </c>
      <c r="I68" s="31">
        <v>0</v>
      </c>
      <c r="J68" s="31">
        <v>0</v>
      </c>
      <c r="K68" s="31"/>
      <c r="L68" s="31">
        <v>0</v>
      </c>
      <c r="M68" s="31" t="s">
        <v>387</v>
      </c>
      <c r="N68" s="31">
        <v>0</v>
      </c>
      <c r="O68" s="31"/>
      <c r="P68" s="31">
        <v>0</v>
      </c>
      <c r="Q68" s="31"/>
      <c r="R68" s="31">
        <v>3064</v>
      </c>
      <c r="S68" s="31">
        <v>51780</v>
      </c>
      <c r="T68" s="31">
        <v>0</v>
      </c>
      <c r="U68" s="31"/>
      <c r="V68" s="31">
        <v>0</v>
      </c>
      <c r="W68" s="31"/>
      <c r="X68" s="31">
        <v>0</v>
      </c>
      <c r="Y68" s="31"/>
      <c r="Z68" s="31">
        <v>-42504</v>
      </c>
      <c r="AA68" s="31"/>
      <c r="AB68" s="41">
        <f t="shared" si="1"/>
        <v>-21283.150000000373</v>
      </c>
      <c r="AC68" s="31"/>
      <c r="AD68" s="38"/>
      <c r="AE68" s="31"/>
      <c r="AF68" s="31"/>
      <c r="AG68" s="31"/>
      <c r="AH68" s="31">
        <v>100000</v>
      </c>
      <c r="AI68" s="31">
        <v>-359874</v>
      </c>
      <c r="AJ68" s="31"/>
      <c r="AK68" s="41">
        <f t="shared" si="2"/>
        <v>-259874</v>
      </c>
    </row>
    <row r="69" spans="1:37" s="2" customFormat="1" ht="23.25" customHeight="1">
      <c r="A69" s="51" t="s">
        <v>257</v>
      </c>
      <c r="B69" s="11" t="s">
        <v>258</v>
      </c>
      <c r="C69" s="28" t="s">
        <v>43</v>
      </c>
      <c r="D69" s="11" t="s">
        <v>401</v>
      </c>
      <c r="E69" s="46" t="s">
        <v>387</v>
      </c>
      <c r="F69" s="30">
        <v>0</v>
      </c>
      <c r="G69" s="31">
        <v>0</v>
      </c>
      <c r="H69" s="31">
        <v>0</v>
      </c>
      <c r="I69" s="31">
        <v>0</v>
      </c>
      <c r="J69" s="31">
        <v>3676982.7142482596</v>
      </c>
      <c r="K69" s="32"/>
      <c r="L69" s="36">
        <v>0</v>
      </c>
      <c r="M69" s="31" t="s">
        <v>387</v>
      </c>
      <c r="N69" s="31">
        <v>1098864</v>
      </c>
      <c r="O69" s="31"/>
      <c r="P69" s="33">
        <v>1106078</v>
      </c>
      <c r="Q69" s="31"/>
      <c r="R69" s="35">
        <v>2601</v>
      </c>
      <c r="S69" s="31">
        <v>0</v>
      </c>
      <c r="T69" s="31">
        <v>0</v>
      </c>
      <c r="U69" s="31"/>
      <c r="V69" s="34">
        <v>120768</v>
      </c>
      <c r="W69" s="31"/>
      <c r="X69" s="36">
        <v>0</v>
      </c>
      <c r="Y69" s="31"/>
      <c r="Z69" s="37" t="s">
        <v>387</v>
      </c>
      <c r="AA69" s="31"/>
      <c r="AB69" s="40">
        <f t="shared" si="1"/>
        <v>1229447</v>
      </c>
      <c r="AC69" s="31"/>
      <c r="AD69" s="38"/>
      <c r="AE69" s="31"/>
      <c r="AF69" s="39"/>
      <c r="AG69" s="39"/>
      <c r="AH69" s="39"/>
      <c r="AI69" s="39">
        <v>-712</v>
      </c>
      <c r="AJ69" s="31"/>
      <c r="AK69" s="40">
        <f t="shared" si="2"/>
        <v>-712</v>
      </c>
    </row>
    <row r="70" spans="1:37" s="2" customFormat="1" ht="23.25" customHeight="1">
      <c r="A70" s="51" t="s">
        <v>259</v>
      </c>
      <c r="B70" s="14" t="s">
        <v>260</v>
      </c>
      <c r="C70" s="29" t="s">
        <v>28</v>
      </c>
      <c r="D70" s="15" t="s">
        <v>401</v>
      </c>
      <c r="E70" s="46" t="s">
        <v>387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/>
      <c r="L70" s="31" t="s">
        <v>387</v>
      </c>
      <c r="M70" s="31" t="s">
        <v>387</v>
      </c>
      <c r="N70" s="31" t="s">
        <v>387</v>
      </c>
      <c r="O70" s="31"/>
      <c r="P70" s="31"/>
      <c r="Q70" s="31"/>
      <c r="R70" s="31" t="s">
        <v>387</v>
      </c>
      <c r="S70" s="31">
        <v>226</v>
      </c>
      <c r="T70" s="31">
        <v>0</v>
      </c>
      <c r="U70" s="31"/>
      <c r="V70" s="31" t="s">
        <v>387</v>
      </c>
      <c r="W70" s="31"/>
      <c r="X70" s="31">
        <v>0</v>
      </c>
      <c r="Y70" s="31"/>
      <c r="Z70" s="31" t="s">
        <v>387</v>
      </c>
      <c r="AA70" s="31"/>
      <c r="AB70" s="41">
        <f t="shared" si="1"/>
        <v>0</v>
      </c>
      <c r="AC70" s="31"/>
      <c r="AD70" s="38"/>
      <c r="AE70" s="31"/>
      <c r="AF70" s="31"/>
      <c r="AG70" s="31"/>
      <c r="AH70" s="31"/>
      <c r="AI70" s="31">
        <v>-10851</v>
      </c>
      <c r="AJ70" s="31"/>
      <c r="AK70" s="41">
        <f t="shared" si="2"/>
        <v>-10851</v>
      </c>
    </row>
    <row r="71" spans="1:37" s="2" customFormat="1" ht="23.25" customHeight="1">
      <c r="A71" s="51" t="s">
        <v>261</v>
      </c>
      <c r="B71" s="11" t="s">
        <v>262</v>
      </c>
      <c r="C71" s="28" t="s">
        <v>28</v>
      </c>
      <c r="D71" s="11" t="s">
        <v>402</v>
      </c>
      <c r="E71" s="46" t="s">
        <v>387</v>
      </c>
      <c r="F71" s="30">
        <v>0</v>
      </c>
      <c r="G71" s="31">
        <v>0</v>
      </c>
      <c r="H71" s="31">
        <v>0</v>
      </c>
      <c r="I71" s="31">
        <v>0</v>
      </c>
      <c r="J71" s="31">
        <v>0</v>
      </c>
      <c r="K71" s="32"/>
      <c r="L71" s="36">
        <v>0</v>
      </c>
      <c r="M71" s="31" t="s">
        <v>387</v>
      </c>
      <c r="N71" s="31">
        <v>0</v>
      </c>
      <c r="O71" s="31"/>
      <c r="P71" s="33">
        <v>0</v>
      </c>
      <c r="Q71" s="31"/>
      <c r="R71" s="35">
        <v>187</v>
      </c>
      <c r="S71" s="31">
        <v>3159</v>
      </c>
      <c r="T71" s="31">
        <v>0</v>
      </c>
      <c r="U71" s="31"/>
      <c r="V71" s="34">
        <v>0</v>
      </c>
      <c r="W71" s="31"/>
      <c r="X71" s="36">
        <v>0</v>
      </c>
      <c r="Y71" s="31"/>
      <c r="Z71" s="37">
        <v>2304</v>
      </c>
      <c r="AA71" s="31"/>
      <c r="AB71" s="40">
        <f>SUM(Z71,X71,V71,R71,P71,L71,F71)</f>
        <v>2491</v>
      </c>
      <c r="AC71" s="31"/>
      <c r="AD71" s="38"/>
      <c r="AE71" s="31"/>
      <c r="AF71" s="39"/>
      <c r="AG71" s="39"/>
      <c r="AH71" s="39"/>
      <c r="AI71" s="39">
        <v>-56902</v>
      </c>
      <c r="AJ71" s="31"/>
      <c r="AK71" s="40">
        <f t="shared" ref="AK71:AK101" si="3">SUM(AF71:AI71)</f>
        <v>-56902</v>
      </c>
    </row>
    <row r="72" spans="1:37" s="2" customFormat="1" ht="23.25" customHeight="1">
      <c r="A72" s="51" t="s">
        <v>80</v>
      </c>
      <c r="B72" s="14" t="s">
        <v>81</v>
      </c>
      <c r="C72" s="29" t="s">
        <v>5</v>
      </c>
      <c r="D72" s="15" t="s">
        <v>403</v>
      </c>
      <c r="E72" s="46" t="s">
        <v>387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/>
      <c r="L72" s="31">
        <v>60833</v>
      </c>
      <c r="M72" s="31" t="s">
        <v>387</v>
      </c>
      <c r="N72" s="31">
        <v>30524</v>
      </c>
      <c r="O72" s="31"/>
      <c r="P72" s="31">
        <v>59788</v>
      </c>
      <c r="Q72" s="31"/>
      <c r="R72" s="31">
        <v>9419</v>
      </c>
      <c r="S72" s="31">
        <v>56389</v>
      </c>
      <c r="T72" s="31">
        <v>9117.1228688871415</v>
      </c>
      <c r="U72" s="31"/>
      <c r="V72" s="31">
        <v>10064</v>
      </c>
      <c r="W72" s="31"/>
      <c r="X72" s="31">
        <v>0</v>
      </c>
      <c r="Y72" s="31"/>
      <c r="Z72" s="31">
        <v>-6710</v>
      </c>
      <c r="AA72" s="31"/>
      <c r="AB72" s="41">
        <f>SUM(Z72,X72,V72,R72,P72,L72,F72)</f>
        <v>133394</v>
      </c>
      <c r="AC72" s="31"/>
      <c r="AD72" s="38"/>
      <c r="AE72" s="31"/>
      <c r="AF72" s="31"/>
      <c r="AG72" s="31"/>
      <c r="AH72" s="31">
        <v>0</v>
      </c>
      <c r="AI72" s="31">
        <v>-49817</v>
      </c>
      <c r="AJ72" s="31"/>
      <c r="AK72" s="41">
        <f t="shared" si="3"/>
        <v>-49817</v>
      </c>
    </row>
    <row r="73" spans="1:37" s="2" customFormat="1" ht="23.25" customHeight="1">
      <c r="A73" s="51" t="s">
        <v>137</v>
      </c>
      <c r="B73" s="11" t="s">
        <v>138</v>
      </c>
      <c r="C73" s="28" t="s">
        <v>107</v>
      </c>
      <c r="D73" s="11" t="s">
        <v>403</v>
      </c>
      <c r="E73" s="46" t="s">
        <v>387</v>
      </c>
      <c r="F73" s="30">
        <v>-176651.74000000954</v>
      </c>
      <c r="G73" s="31">
        <v>132770</v>
      </c>
      <c r="H73" s="31">
        <v>-41827.647740598004</v>
      </c>
      <c r="I73" s="31">
        <v>-166667</v>
      </c>
      <c r="J73" s="31">
        <v>0</v>
      </c>
      <c r="K73" s="32"/>
      <c r="L73" s="36">
        <v>1400981</v>
      </c>
      <c r="M73" s="31">
        <v>354648</v>
      </c>
      <c r="N73" s="31">
        <v>366288</v>
      </c>
      <c r="O73" s="31"/>
      <c r="P73" s="33">
        <v>448410</v>
      </c>
      <c r="Q73" s="31"/>
      <c r="R73" s="35">
        <v>433093</v>
      </c>
      <c r="S73" s="31">
        <v>2139155</v>
      </c>
      <c r="T73" s="31">
        <v>460003.46609351679</v>
      </c>
      <c r="U73" s="31"/>
      <c r="V73" s="34">
        <v>155370</v>
      </c>
      <c r="W73" s="31"/>
      <c r="X73" s="36">
        <v>48718</v>
      </c>
      <c r="Y73" s="31"/>
      <c r="Z73" s="37">
        <v>-137944</v>
      </c>
      <c r="AA73" s="31"/>
      <c r="AB73" s="40">
        <f>SUM(Z73,X73,V73,R73,P73,L73,F73)</f>
        <v>2171976.2599999905</v>
      </c>
      <c r="AC73" s="31"/>
      <c r="AD73" s="38"/>
      <c r="AE73" s="31"/>
      <c r="AF73" s="39"/>
      <c r="AG73" s="39"/>
      <c r="AH73" s="39">
        <v>400000</v>
      </c>
      <c r="AI73" s="39">
        <v>-1848049</v>
      </c>
      <c r="AJ73" s="31"/>
      <c r="AK73" s="40">
        <f t="shared" si="3"/>
        <v>-1448049</v>
      </c>
    </row>
    <row r="74" spans="1:37" s="2" customFormat="1" ht="23.25" customHeight="1">
      <c r="A74" s="51" t="s">
        <v>139</v>
      </c>
      <c r="B74" s="14" t="s">
        <v>140</v>
      </c>
      <c r="C74" s="29" t="s">
        <v>48</v>
      </c>
      <c r="D74" s="15" t="s">
        <v>403</v>
      </c>
      <c r="E74" s="46" t="s">
        <v>387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/>
      <c r="L74" s="31">
        <v>24582</v>
      </c>
      <c r="M74" s="31">
        <v>206878</v>
      </c>
      <c r="N74" s="31">
        <v>183144</v>
      </c>
      <c r="O74" s="31"/>
      <c r="P74" s="31">
        <v>209258</v>
      </c>
      <c r="Q74" s="31"/>
      <c r="R74" s="31">
        <v>142387</v>
      </c>
      <c r="S74" s="31">
        <v>672736</v>
      </c>
      <c r="T74" s="31">
        <v>157495.40190192999</v>
      </c>
      <c r="U74" s="31"/>
      <c r="V74" s="31">
        <v>14743</v>
      </c>
      <c r="W74" s="31"/>
      <c r="X74" s="31">
        <v>0</v>
      </c>
      <c r="Y74" s="31"/>
      <c r="Z74" s="31">
        <v>54280</v>
      </c>
      <c r="AA74" s="31"/>
      <c r="AB74" s="41">
        <f t="shared" ref="AB74:AB137" si="4">SUM(Z74,X74,V74,R74,P74,L74,F74)</f>
        <v>445250</v>
      </c>
      <c r="AC74" s="31"/>
      <c r="AD74" s="38"/>
      <c r="AE74" s="31"/>
      <c r="AF74" s="31"/>
      <c r="AG74" s="31"/>
      <c r="AH74" s="31">
        <v>20000</v>
      </c>
      <c r="AI74" s="31">
        <v>-514141</v>
      </c>
      <c r="AJ74" s="31"/>
      <c r="AK74" s="41">
        <f t="shared" si="3"/>
        <v>-494141</v>
      </c>
    </row>
    <row r="75" spans="1:37" s="2" customFormat="1" ht="23.25" customHeight="1">
      <c r="A75" s="51" t="s">
        <v>147</v>
      </c>
      <c r="B75" s="11" t="s">
        <v>148</v>
      </c>
      <c r="C75" s="28" t="s">
        <v>5</v>
      </c>
      <c r="D75" s="11" t="s">
        <v>403</v>
      </c>
      <c r="E75" s="46" t="s">
        <v>387</v>
      </c>
      <c r="F75" s="30">
        <v>0</v>
      </c>
      <c r="G75" s="31">
        <v>0</v>
      </c>
      <c r="H75" s="31">
        <v>0</v>
      </c>
      <c r="I75" s="31">
        <v>0</v>
      </c>
      <c r="J75" s="31">
        <v>0</v>
      </c>
      <c r="K75" s="32"/>
      <c r="L75" s="36">
        <v>0</v>
      </c>
      <c r="M75" s="31">
        <v>413756</v>
      </c>
      <c r="N75" s="31">
        <v>396812</v>
      </c>
      <c r="O75" s="31"/>
      <c r="P75" s="33">
        <v>418516</v>
      </c>
      <c r="Q75" s="31"/>
      <c r="R75" s="35">
        <v>13860</v>
      </c>
      <c r="S75" s="31">
        <v>110916</v>
      </c>
      <c r="T75" s="31">
        <v>19524.468285617571</v>
      </c>
      <c r="U75" s="31"/>
      <c r="V75" s="34">
        <v>13497</v>
      </c>
      <c r="W75" s="31"/>
      <c r="X75" s="36">
        <v>0</v>
      </c>
      <c r="Y75" s="31"/>
      <c r="Z75" s="37">
        <v>18768</v>
      </c>
      <c r="AA75" s="31"/>
      <c r="AB75" s="40">
        <f t="shared" si="4"/>
        <v>464641</v>
      </c>
      <c r="AC75" s="31"/>
      <c r="AD75" s="38"/>
      <c r="AE75" s="31"/>
      <c r="AF75" s="39"/>
      <c r="AG75" s="39"/>
      <c r="AH75" s="39">
        <v>300000</v>
      </c>
      <c r="AI75" s="39">
        <v>-147827</v>
      </c>
      <c r="AJ75" s="31"/>
      <c r="AK75" s="40">
        <f t="shared" si="3"/>
        <v>152173</v>
      </c>
    </row>
    <row r="76" spans="1:37" s="2" customFormat="1" ht="23.25" customHeight="1">
      <c r="A76" s="51" t="s">
        <v>175</v>
      </c>
      <c r="B76" s="14" t="s">
        <v>176</v>
      </c>
      <c r="C76" s="29" t="s">
        <v>48</v>
      </c>
      <c r="D76" s="15" t="s">
        <v>403</v>
      </c>
      <c r="E76" s="46" t="s">
        <v>387</v>
      </c>
      <c r="F76" s="31">
        <v>18062.029999993742</v>
      </c>
      <c r="G76" s="31">
        <v>0</v>
      </c>
      <c r="H76" s="31">
        <v>0</v>
      </c>
      <c r="I76" s="31">
        <v>0</v>
      </c>
      <c r="J76" s="31">
        <v>0</v>
      </c>
      <c r="K76" s="31"/>
      <c r="L76" s="31">
        <v>192675</v>
      </c>
      <c r="M76" s="31">
        <v>88662</v>
      </c>
      <c r="N76" s="31">
        <v>244192</v>
      </c>
      <c r="O76" s="31"/>
      <c r="P76" s="31">
        <v>269046</v>
      </c>
      <c r="Q76" s="31"/>
      <c r="R76" s="31">
        <v>82210</v>
      </c>
      <c r="S76" s="31">
        <v>425046</v>
      </c>
      <c r="T76" s="31">
        <v>93737.774453218502</v>
      </c>
      <c r="U76" s="31"/>
      <c r="V76" s="31">
        <v>34366</v>
      </c>
      <c r="W76" s="31"/>
      <c r="X76" s="31">
        <v>0</v>
      </c>
      <c r="Y76" s="31"/>
      <c r="Z76" s="31">
        <v>51922</v>
      </c>
      <c r="AA76" s="31"/>
      <c r="AB76" s="41">
        <f t="shared" si="4"/>
        <v>648281.02999999374</v>
      </c>
      <c r="AC76" s="31"/>
      <c r="AD76" s="38"/>
      <c r="AE76" s="31"/>
      <c r="AF76" s="31"/>
      <c r="AG76" s="31"/>
      <c r="AH76" s="31">
        <v>300000</v>
      </c>
      <c r="AI76" s="31">
        <v>-347314</v>
      </c>
      <c r="AJ76" s="31"/>
      <c r="AK76" s="41">
        <f t="shared" si="3"/>
        <v>-47314</v>
      </c>
    </row>
    <row r="77" spans="1:37" s="2" customFormat="1" ht="23.25" customHeight="1">
      <c r="A77" s="51" t="s">
        <v>263</v>
      </c>
      <c r="B77" s="11" t="s">
        <v>264</v>
      </c>
      <c r="C77" s="28" t="s">
        <v>28</v>
      </c>
      <c r="D77" s="11" t="s">
        <v>403</v>
      </c>
      <c r="E77" s="46" t="s">
        <v>387</v>
      </c>
      <c r="F77" s="30">
        <v>0</v>
      </c>
      <c r="G77" s="31">
        <v>0</v>
      </c>
      <c r="H77" s="31">
        <v>0</v>
      </c>
      <c r="I77" s="31">
        <v>0</v>
      </c>
      <c r="J77" s="31">
        <v>0</v>
      </c>
      <c r="K77" s="32"/>
      <c r="L77" s="36" t="s">
        <v>387</v>
      </c>
      <c r="M77" s="31" t="s">
        <v>387</v>
      </c>
      <c r="N77" s="31">
        <v>0</v>
      </c>
      <c r="O77" s="31"/>
      <c r="P77" s="33"/>
      <c r="Q77" s="31"/>
      <c r="R77" s="35" t="s">
        <v>387</v>
      </c>
      <c r="S77" s="31">
        <v>0</v>
      </c>
      <c r="T77" s="31">
        <v>0</v>
      </c>
      <c r="U77" s="31"/>
      <c r="V77" s="34" t="s">
        <v>387</v>
      </c>
      <c r="W77" s="31"/>
      <c r="X77" s="36">
        <v>0</v>
      </c>
      <c r="Y77" s="31"/>
      <c r="Z77" s="37">
        <v>295424</v>
      </c>
      <c r="AA77" s="31"/>
      <c r="AB77" s="40">
        <f t="shared" si="4"/>
        <v>295424</v>
      </c>
      <c r="AC77" s="31"/>
      <c r="AD77" s="38"/>
      <c r="AE77" s="31"/>
      <c r="AF77" s="39"/>
      <c r="AG77" s="39"/>
      <c r="AH77" s="39"/>
      <c r="AI77" s="39">
        <v>0</v>
      </c>
      <c r="AJ77" s="31"/>
      <c r="AK77" s="40">
        <f t="shared" si="3"/>
        <v>0</v>
      </c>
    </row>
    <row r="78" spans="1:37" s="2" customFormat="1" ht="23.25" customHeight="1">
      <c r="A78" s="51" t="s">
        <v>127</v>
      </c>
      <c r="B78" s="14" t="s">
        <v>128</v>
      </c>
      <c r="C78" s="29" t="s">
        <v>2</v>
      </c>
      <c r="D78" s="15" t="s">
        <v>404</v>
      </c>
      <c r="E78" s="46" t="s">
        <v>387</v>
      </c>
      <c r="F78" s="31">
        <v>-431959.26000005007</v>
      </c>
      <c r="G78" s="31">
        <v>59209</v>
      </c>
      <c r="H78" s="31">
        <v>0</v>
      </c>
      <c r="I78" s="31">
        <v>-40000</v>
      </c>
      <c r="J78" s="31">
        <v>0</v>
      </c>
      <c r="K78" s="31"/>
      <c r="L78" s="31">
        <v>2634712</v>
      </c>
      <c r="M78" s="31">
        <v>29554</v>
      </c>
      <c r="N78" s="31" t="s">
        <v>387</v>
      </c>
      <c r="O78" s="31"/>
      <c r="P78" s="31">
        <v>119576</v>
      </c>
      <c r="Q78" s="31"/>
      <c r="R78" s="31">
        <v>727477</v>
      </c>
      <c r="S78" s="31">
        <v>3402928</v>
      </c>
      <c r="T78" s="31">
        <v>629494.65652917454</v>
      </c>
      <c r="U78" s="31"/>
      <c r="V78" s="31">
        <v>427790</v>
      </c>
      <c r="W78" s="31"/>
      <c r="X78" s="31">
        <v>73077</v>
      </c>
      <c r="Y78" s="31"/>
      <c r="Z78" s="31">
        <v>169348</v>
      </c>
      <c r="AA78" s="31"/>
      <c r="AB78" s="41">
        <f t="shared" si="4"/>
        <v>3720020.7399999499</v>
      </c>
      <c r="AC78" s="31"/>
      <c r="AD78" s="38"/>
      <c r="AE78" s="31"/>
      <c r="AF78" s="31"/>
      <c r="AG78" s="31"/>
      <c r="AH78" s="31">
        <v>780000</v>
      </c>
      <c r="AI78" s="31">
        <v>-2737338</v>
      </c>
      <c r="AJ78" s="31"/>
      <c r="AK78" s="41">
        <f t="shared" si="3"/>
        <v>-1957338</v>
      </c>
    </row>
    <row r="79" spans="1:37" s="2" customFormat="1" ht="23.25" customHeight="1">
      <c r="A79" s="51" t="s">
        <v>6</v>
      </c>
      <c r="B79" s="11" t="s">
        <v>7</v>
      </c>
      <c r="C79" s="28" t="s">
        <v>8</v>
      </c>
      <c r="D79" s="11" t="s">
        <v>405</v>
      </c>
      <c r="E79" s="46" t="s">
        <v>387</v>
      </c>
      <c r="F79" s="30">
        <v>-289063.37999999523</v>
      </c>
      <c r="G79" s="31">
        <v>-45324.14799714851</v>
      </c>
      <c r="H79" s="31">
        <v>0</v>
      </c>
      <c r="I79" s="31">
        <v>-233333</v>
      </c>
      <c r="J79" s="31">
        <v>0</v>
      </c>
      <c r="K79" s="32"/>
      <c r="L79" s="36">
        <v>454320</v>
      </c>
      <c r="M79" s="31">
        <v>650188</v>
      </c>
      <c r="N79" s="31">
        <v>488384</v>
      </c>
      <c r="O79" s="31"/>
      <c r="P79" s="33">
        <v>478304</v>
      </c>
      <c r="Q79" s="31"/>
      <c r="R79" s="35">
        <v>170211</v>
      </c>
      <c r="S79" s="31">
        <v>841081</v>
      </c>
      <c r="T79" s="31">
        <v>147719.4238612582</v>
      </c>
      <c r="U79" s="31"/>
      <c r="V79" s="34">
        <v>204631</v>
      </c>
      <c r="W79" s="31"/>
      <c r="X79" s="36">
        <v>48718</v>
      </c>
      <c r="Y79" s="31"/>
      <c r="Z79" s="37">
        <v>22272</v>
      </c>
      <c r="AA79" s="31"/>
      <c r="AB79" s="40">
        <f t="shared" si="4"/>
        <v>1089392.6200000048</v>
      </c>
      <c r="AC79" s="31"/>
      <c r="AD79" s="38"/>
      <c r="AE79" s="31"/>
      <c r="AF79" s="39"/>
      <c r="AG79" s="39"/>
      <c r="AH79" s="39">
        <v>180000</v>
      </c>
      <c r="AI79" s="39">
        <v>-759504</v>
      </c>
      <c r="AJ79" s="31"/>
      <c r="AK79" s="40">
        <f t="shared" si="3"/>
        <v>-579504</v>
      </c>
    </row>
    <row r="80" spans="1:37" s="2" customFormat="1" ht="23.25" customHeight="1">
      <c r="A80" s="51" t="s">
        <v>60</v>
      </c>
      <c r="B80" s="14" t="s">
        <v>61</v>
      </c>
      <c r="C80" s="29" t="s">
        <v>5</v>
      </c>
      <c r="D80" s="15" t="s">
        <v>405</v>
      </c>
      <c r="E80" s="46" t="s">
        <v>387</v>
      </c>
      <c r="F80" s="31">
        <v>-89751</v>
      </c>
      <c r="G80" s="31">
        <v>0</v>
      </c>
      <c r="H80" s="31">
        <v>0</v>
      </c>
      <c r="I80" s="31">
        <v>0</v>
      </c>
      <c r="J80" s="31">
        <v>0</v>
      </c>
      <c r="K80" s="31"/>
      <c r="L80" s="31">
        <v>35610</v>
      </c>
      <c r="M80" s="31">
        <v>59108</v>
      </c>
      <c r="N80" s="31">
        <v>61048</v>
      </c>
      <c r="O80" s="31"/>
      <c r="P80" s="31">
        <v>59788</v>
      </c>
      <c r="Q80" s="31"/>
      <c r="R80" s="31">
        <v>16827</v>
      </c>
      <c r="S80" s="31">
        <v>143878</v>
      </c>
      <c r="T80" s="31">
        <v>16664.699830365891</v>
      </c>
      <c r="U80" s="31"/>
      <c r="V80" s="31">
        <v>0</v>
      </c>
      <c r="W80" s="31"/>
      <c r="X80" s="31">
        <v>0</v>
      </c>
      <c r="Y80" s="31"/>
      <c r="Z80" s="31">
        <v>-5452</v>
      </c>
      <c r="AA80" s="31"/>
      <c r="AB80" s="41">
        <f t="shared" si="4"/>
        <v>17022</v>
      </c>
      <c r="AC80" s="31"/>
      <c r="AD80" s="38"/>
      <c r="AE80" s="31"/>
      <c r="AF80" s="31"/>
      <c r="AG80" s="31"/>
      <c r="AH80" s="31">
        <v>300000</v>
      </c>
      <c r="AI80" s="31">
        <v>-109531</v>
      </c>
      <c r="AJ80" s="31"/>
      <c r="AK80" s="41">
        <f t="shared" si="3"/>
        <v>190469</v>
      </c>
    </row>
    <row r="81" spans="1:37" s="2" customFormat="1" ht="23.25" customHeight="1">
      <c r="A81" s="51" t="s">
        <v>122</v>
      </c>
      <c r="B81" s="11" t="s">
        <v>123</v>
      </c>
      <c r="C81" s="28" t="s">
        <v>5</v>
      </c>
      <c r="D81" s="11" t="s">
        <v>405</v>
      </c>
      <c r="E81" s="46" t="s">
        <v>387</v>
      </c>
      <c r="F81" s="30">
        <v>0</v>
      </c>
      <c r="G81" s="31">
        <v>0</v>
      </c>
      <c r="H81" s="31">
        <v>0</v>
      </c>
      <c r="I81" s="31">
        <v>0</v>
      </c>
      <c r="J81" s="31">
        <v>0</v>
      </c>
      <c r="K81" s="32"/>
      <c r="L81" s="36">
        <v>271376</v>
      </c>
      <c r="M81" s="31">
        <v>265986</v>
      </c>
      <c r="N81" s="31">
        <v>152620</v>
      </c>
      <c r="O81" s="31"/>
      <c r="P81" s="33">
        <v>179364</v>
      </c>
      <c r="Q81" s="31"/>
      <c r="R81" s="35">
        <v>93725</v>
      </c>
      <c r="S81" s="31">
        <v>506664</v>
      </c>
      <c r="T81" s="31">
        <v>93690.86844045308</v>
      </c>
      <c r="U81" s="31"/>
      <c r="V81" s="34">
        <v>80984</v>
      </c>
      <c r="W81" s="31"/>
      <c r="X81" s="36">
        <v>0</v>
      </c>
      <c r="Y81" s="31"/>
      <c r="Z81" s="37">
        <v>-178</v>
      </c>
      <c r="AA81" s="31"/>
      <c r="AB81" s="40">
        <f t="shared" si="4"/>
        <v>625271</v>
      </c>
      <c r="AC81" s="31"/>
      <c r="AD81" s="38"/>
      <c r="AE81" s="31"/>
      <c r="AF81" s="39"/>
      <c r="AG81" s="39"/>
      <c r="AH81" s="39">
        <v>330000</v>
      </c>
      <c r="AI81" s="39">
        <v>-426699</v>
      </c>
      <c r="AJ81" s="31"/>
      <c r="AK81" s="40">
        <f t="shared" si="3"/>
        <v>-96699</v>
      </c>
    </row>
    <row r="82" spans="1:37" s="2" customFormat="1" ht="23.25" customHeight="1">
      <c r="A82" s="51" t="s">
        <v>143</v>
      </c>
      <c r="B82" s="14" t="s">
        <v>144</v>
      </c>
      <c r="C82" s="29" t="s">
        <v>8</v>
      </c>
      <c r="D82" s="15" t="s">
        <v>405</v>
      </c>
      <c r="E82" s="46" t="s">
        <v>387</v>
      </c>
      <c r="F82" s="31">
        <v>-52345.780000001192</v>
      </c>
      <c r="G82" s="31">
        <v>60160.332409461305</v>
      </c>
      <c r="H82" s="31">
        <v>0</v>
      </c>
      <c r="I82" s="31">
        <v>-260000</v>
      </c>
      <c r="J82" s="31">
        <v>0</v>
      </c>
      <c r="K82" s="31"/>
      <c r="L82" s="31">
        <v>1561781</v>
      </c>
      <c r="M82" s="31">
        <v>177324</v>
      </c>
      <c r="N82" s="31">
        <v>183144</v>
      </c>
      <c r="O82" s="31"/>
      <c r="P82" s="31">
        <v>209258</v>
      </c>
      <c r="Q82" s="31"/>
      <c r="R82" s="31">
        <v>345852</v>
      </c>
      <c r="S82" s="31">
        <v>1806134</v>
      </c>
      <c r="T82" s="31">
        <v>374105.68173444067</v>
      </c>
      <c r="U82" s="31"/>
      <c r="V82" s="31">
        <v>167925</v>
      </c>
      <c r="W82" s="31"/>
      <c r="X82" s="31">
        <v>48718</v>
      </c>
      <c r="Y82" s="31"/>
      <c r="Z82" s="31">
        <v>308736</v>
      </c>
      <c r="AA82" s="31"/>
      <c r="AB82" s="41">
        <f t="shared" si="4"/>
        <v>2589924.2199999988</v>
      </c>
      <c r="AC82" s="31"/>
      <c r="AD82" s="38"/>
      <c r="AE82" s="31"/>
      <c r="AF82" s="31"/>
      <c r="AG82" s="31"/>
      <c r="AH82" s="31">
        <v>200000</v>
      </c>
      <c r="AI82" s="31">
        <v>-1346573</v>
      </c>
      <c r="AJ82" s="31"/>
      <c r="AK82" s="41">
        <f t="shared" si="3"/>
        <v>-1146573</v>
      </c>
    </row>
    <row r="83" spans="1:37" s="2" customFormat="1" ht="23.25" customHeight="1">
      <c r="A83" s="51" t="s">
        <v>145</v>
      </c>
      <c r="B83" s="11" t="s">
        <v>146</v>
      </c>
      <c r="C83" s="28" t="s">
        <v>8</v>
      </c>
      <c r="D83" s="11" t="s">
        <v>406</v>
      </c>
      <c r="E83" s="46" t="s">
        <v>387</v>
      </c>
      <c r="F83" s="30">
        <v>-74613.469999998808</v>
      </c>
      <c r="G83" s="31">
        <v>-73354.295900351077</v>
      </c>
      <c r="H83" s="31">
        <v>0</v>
      </c>
      <c r="I83" s="31">
        <v>-153333</v>
      </c>
      <c r="J83" s="31">
        <v>0</v>
      </c>
      <c r="K83" s="32"/>
      <c r="L83" s="36">
        <v>784751</v>
      </c>
      <c r="M83" s="31">
        <v>443310</v>
      </c>
      <c r="N83" s="31">
        <v>244192</v>
      </c>
      <c r="O83" s="31"/>
      <c r="P83" s="33">
        <v>239152</v>
      </c>
      <c r="Q83" s="31"/>
      <c r="R83" s="35">
        <v>296891</v>
      </c>
      <c r="S83" s="31">
        <v>1366643</v>
      </c>
      <c r="T83" s="31">
        <v>254476.45606908083</v>
      </c>
      <c r="U83" s="31"/>
      <c r="V83" s="34">
        <v>51179</v>
      </c>
      <c r="W83" s="31"/>
      <c r="X83" s="36">
        <v>48718</v>
      </c>
      <c r="Y83" s="31"/>
      <c r="Z83" s="37">
        <v>249644</v>
      </c>
      <c r="AA83" s="31"/>
      <c r="AB83" s="40">
        <f t="shared" si="4"/>
        <v>1595721.5300000012</v>
      </c>
      <c r="AC83" s="31"/>
      <c r="AD83" s="38"/>
      <c r="AE83" s="31"/>
      <c r="AF83" s="39"/>
      <c r="AG83" s="39"/>
      <c r="AH83" s="39">
        <v>300000</v>
      </c>
      <c r="AI83" s="39">
        <v>-1092474</v>
      </c>
      <c r="AJ83" s="31"/>
      <c r="AK83" s="40">
        <f t="shared" si="3"/>
        <v>-792474</v>
      </c>
    </row>
    <row r="84" spans="1:37" s="2" customFormat="1" ht="23.25" customHeight="1">
      <c r="A84" s="51" t="s">
        <v>196</v>
      </c>
      <c r="B84" s="14" t="s">
        <v>197</v>
      </c>
      <c r="C84" s="29" t="s">
        <v>48</v>
      </c>
      <c r="D84" s="15" t="s">
        <v>406</v>
      </c>
      <c r="E84" s="46" t="s">
        <v>387</v>
      </c>
      <c r="F84" s="31">
        <v>18156.85000000149</v>
      </c>
      <c r="G84" s="31">
        <v>0</v>
      </c>
      <c r="H84" s="31">
        <v>0</v>
      </c>
      <c r="I84" s="31">
        <v>0</v>
      </c>
      <c r="J84" s="31">
        <v>0</v>
      </c>
      <c r="K84" s="31"/>
      <c r="L84" s="31">
        <v>340194</v>
      </c>
      <c r="M84" s="31">
        <v>265986</v>
      </c>
      <c r="N84" s="31">
        <v>213668</v>
      </c>
      <c r="O84" s="31"/>
      <c r="P84" s="31">
        <v>209258</v>
      </c>
      <c r="Q84" s="31"/>
      <c r="R84" s="31">
        <v>106054</v>
      </c>
      <c r="S84" s="31">
        <v>473141</v>
      </c>
      <c r="T84" s="31">
        <v>94845.020055403351</v>
      </c>
      <c r="U84" s="31"/>
      <c r="V84" s="31">
        <v>72047</v>
      </c>
      <c r="W84" s="31"/>
      <c r="X84" s="31">
        <v>0</v>
      </c>
      <c r="Y84" s="31"/>
      <c r="Z84" s="31">
        <v>24224</v>
      </c>
      <c r="AA84" s="31"/>
      <c r="AB84" s="41">
        <f t="shared" si="4"/>
        <v>769933.85000000149</v>
      </c>
      <c r="AC84" s="31"/>
      <c r="AD84" s="38"/>
      <c r="AE84" s="31"/>
      <c r="AF84" s="31"/>
      <c r="AG84" s="31"/>
      <c r="AH84" s="31">
        <v>50000</v>
      </c>
      <c r="AI84" s="31">
        <v>-419620</v>
      </c>
      <c r="AJ84" s="31"/>
      <c r="AK84" s="41">
        <f t="shared" si="3"/>
        <v>-369620</v>
      </c>
    </row>
    <row r="85" spans="1:37" s="2" customFormat="1" ht="23.25" customHeight="1">
      <c r="A85" s="51" t="s">
        <v>265</v>
      </c>
      <c r="B85" s="11" t="s">
        <v>442</v>
      </c>
      <c r="C85" s="28" t="s">
        <v>439</v>
      </c>
      <c r="D85" s="11" t="s">
        <v>406</v>
      </c>
      <c r="E85" s="46" t="s">
        <v>387</v>
      </c>
      <c r="F85" s="30">
        <v>18156.849999999627</v>
      </c>
      <c r="G85" s="31">
        <v>0</v>
      </c>
      <c r="H85" s="31">
        <v>0</v>
      </c>
      <c r="I85" s="31">
        <v>0</v>
      </c>
      <c r="J85" s="31">
        <v>0</v>
      </c>
      <c r="K85" s="32"/>
      <c r="L85" s="36">
        <v>0</v>
      </c>
      <c r="M85" s="31" t="s">
        <v>387</v>
      </c>
      <c r="N85" s="31">
        <v>0</v>
      </c>
      <c r="O85" s="31"/>
      <c r="P85" s="33">
        <v>0</v>
      </c>
      <c r="Q85" s="31"/>
      <c r="R85" s="35">
        <v>2393</v>
      </c>
      <c r="S85" s="31">
        <v>0</v>
      </c>
      <c r="T85" s="31">
        <v>0</v>
      </c>
      <c r="U85" s="31"/>
      <c r="V85" s="34">
        <v>0</v>
      </c>
      <c r="W85" s="31"/>
      <c r="X85" s="36">
        <v>0</v>
      </c>
      <c r="Y85" s="31"/>
      <c r="Z85" s="37" t="s">
        <v>387</v>
      </c>
      <c r="AA85" s="31"/>
      <c r="AB85" s="40">
        <f t="shared" si="4"/>
        <v>20549.849999999627</v>
      </c>
      <c r="AC85" s="31"/>
      <c r="AD85" s="38"/>
      <c r="AE85" s="31"/>
      <c r="AF85" s="39"/>
      <c r="AG85" s="39"/>
      <c r="AH85" s="39"/>
      <c r="AI85" s="39">
        <v>0</v>
      </c>
      <c r="AJ85" s="31"/>
      <c r="AK85" s="40">
        <f t="shared" si="3"/>
        <v>0</v>
      </c>
    </row>
    <row r="86" spans="1:37" s="2" customFormat="1" ht="23.25" customHeight="1">
      <c r="A86" s="51" t="s">
        <v>266</v>
      </c>
      <c r="B86" s="14" t="s">
        <v>267</v>
      </c>
      <c r="C86" s="29" t="s">
        <v>28</v>
      </c>
      <c r="D86" s="15" t="s">
        <v>406</v>
      </c>
      <c r="E86" s="46" t="s">
        <v>387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/>
      <c r="L86" s="31">
        <v>0</v>
      </c>
      <c r="M86" s="31" t="s">
        <v>387</v>
      </c>
      <c r="N86" s="31" t="s">
        <v>387</v>
      </c>
      <c r="O86" s="31"/>
      <c r="P86" s="31">
        <v>0</v>
      </c>
      <c r="Q86" s="31"/>
      <c r="R86" s="31">
        <v>55</v>
      </c>
      <c r="S86" s="31">
        <v>931</v>
      </c>
      <c r="T86" s="31">
        <v>0</v>
      </c>
      <c r="U86" s="31"/>
      <c r="V86" s="31">
        <v>0</v>
      </c>
      <c r="W86" s="31"/>
      <c r="X86" s="31">
        <v>0</v>
      </c>
      <c r="Y86" s="31"/>
      <c r="Z86" s="31" t="s">
        <v>387</v>
      </c>
      <c r="AA86" s="31"/>
      <c r="AB86" s="41">
        <f t="shared" si="4"/>
        <v>55</v>
      </c>
      <c r="AC86" s="31"/>
      <c r="AD86" s="38"/>
      <c r="AE86" s="31"/>
      <c r="AF86" s="31"/>
      <c r="AG86" s="31"/>
      <c r="AH86" s="31"/>
      <c r="AI86" s="31">
        <v>-9373</v>
      </c>
      <c r="AJ86" s="31"/>
      <c r="AK86" s="41">
        <f t="shared" si="3"/>
        <v>-9373</v>
      </c>
    </row>
    <row r="87" spans="1:37" s="2" customFormat="1" ht="23.25" customHeight="1">
      <c r="A87" s="51" t="s">
        <v>149</v>
      </c>
      <c r="B87" s="11" t="s">
        <v>150</v>
      </c>
      <c r="C87" s="28" t="s">
        <v>5</v>
      </c>
      <c r="D87" s="11" t="s">
        <v>455</v>
      </c>
      <c r="E87" s="46" t="s">
        <v>387</v>
      </c>
      <c r="F87" s="30">
        <v>164976</v>
      </c>
      <c r="G87" s="31">
        <v>0</v>
      </c>
      <c r="H87" s="31">
        <v>0</v>
      </c>
      <c r="I87" s="31">
        <v>0</v>
      </c>
      <c r="J87" s="31">
        <v>0</v>
      </c>
      <c r="K87" s="32"/>
      <c r="L87" s="36">
        <v>0</v>
      </c>
      <c r="M87" s="31">
        <v>376362</v>
      </c>
      <c r="N87" s="31">
        <v>329952</v>
      </c>
      <c r="O87" s="31"/>
      <c r="P87" s="33">
        <v>327176</v>
      </c>
      <c r="Q87" s="31"/>
      <c r="R87" s="35">
        <v>34718</v>
      </c>
      <c r="S87" s="31">
        <v>180148</v>
      </c>
      <c r="T87" s="31">
        <v>30264.658535963019</v>
      </c>
      <c r="U87" s="31"/>
      <c r="V87" s="34">
        <v>0</v>
      </c>
      <c r="W87" s="31"/>
      <c r="X87" s="36">
        <v>0</v>
      </c>
      <c r="Y87" s="31"/>
      <c r="Z87" s="37">
        <v>10536</v>
      </c>
      <c r="AA87" s="31"/>
      <c r="AB87" s="40">
        <f t="shared" si="4"/>
        <v>537406</v>
      </c>
      <c r="AC87" s="31"/>
      <c r="AD87" s="38"/>
      <c r="AE87" s="31"/>
      <c r="AF87" s="39"/>
      <c r="AG87" s="39"/>
      <c r="AH87" s="39"/>
      <c r="AI87" s="39">
        <v>-153227</v>
      </c>
      <c r="AJ87" s="31"/>
      <c r="AK87" s="40">
        <f t="shared" si="3"/>
        <v>-153227</v>
      </c>
    </row>
    <row r="88" spans="1:37" s="2" customFormat="1" ht="23.25" customHeight="1">
      <c r="A88" s="51" t="s">
        <v>105</v>
      </c>
      <c r="B88" s="14" t="s">
        <v>106</v>
      </c>
      <c r="C88" s="29" t="s">
        <v>107</v>
      </c>
      <c r="D88" s="15" t="s">
        <v>407</v>
      </c>
      <c r="E88" s="46" t="s">
        <v>387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/>
      <c r="L88" s="31">
        <v>102831</v>
      </c>
      <c r="M88" s="31">
        <v>118216</v>
      </c>
      <c r="N88" s="31">
        <v>122096</v>
      </c>
      <c r="O88" s="31"/>
      <c r="P88" s="31">
        <v>119576</v>
      </c>
      <c r="Q88" s="31"/>
      <c r="R88" s="31">
        <v>15099</v>
      </c>
      <c r="S88" s="31">
        <v>96039</v>
      </c>
      <c r="T88" s="31">
        <v>10148.020210296565</v>
      </c>
      <c r="U88" s="31"/>
      <c r="V88" s="31">
        <v>16813</v>
      </c>
      <c r="W88" s="31"/>
      <c r="X88" s="31">
        <v>0</v>
      </c>
      <c r="Y88" s="31"/>
      <c r="Z88" s="31">
        <v>-13420</v>
      </c>
      <c r="AA88" s="31"/>
      <c r="AB88" s="41">
        <f t="shared" si="4"/>
        <v>240899</v>
      </c>
      <c r="AC88" s="31"/>
      <c r="AD88" s="38"/>
      <c r="AE88" s="31"/>
      <c r="AF88" s="31"/>
      <c r="AG88" s="31"/>
      <c r="AH88" s="31"/>
      <c r="AI88" s="31">
        <v>-73386</v>
      </c>
      <c r="AJ88" s="31"/>
      <c r="AK88" s="41">
        <f t="shared" si="3"/>
        <v>-73386</v>
      </c>
    </row>
    <row r="89" spans="1:37" s="2" customFormat="1" ht="23.25" customHeight="1">
      <c r="A89" s="51" t="s">
        <v>151</v>
      </c>
      <c r="B89" s="11" t="s">
        <v>152</v>
      </c>
      <c r="C89" s="28" t="s">
        <v>5</v>
      </c>
      <c r="D89" s="11" t="s">
        <v>407</v>
      </c>
      <c r="E89" s="46" t="s">
        <v>387</v>
      </c>
      <c r="F89" s="30">
        <v>0</v>
      </c>
      <c r="G89" s="31">
        <v>0</v>
      </c>
      <c r="H89" s="31">
        <v>0</v>
      </c>
      <c r="I89" s="31">
        <v>0</v>
      </c>
      <c r="J89" s="31">
        <v>0</v>
      </c>
      <c r="K89" s="32"/>
      <c r="L89" s="36">
        <v>742583</v>
      </c>
      <c r="M89" s="31">
        <v>59108</v>
      </c>
      <c r="N89" s="31">
        <v>91572</v>
      </c>
      <c r="O89" s="31"/>
      <c r="P89" s="33">
        <v>89682</v>
      </c>
      <c r="Q89" s="31"/>
      <c r="R89" s="35">
        <v>181897</v>
      </c>
      <c r="S89" s="31">
        <v>994810</v>
      </c>
      <c r="T89" s="31">
        <v>218552.83083751699</v>
      </c>
      <c r="U89" s="31"/>
      <c r="V89" s="34">
        <v>30933</v>
      </c>
      <c r="W89" s="31"/>
      <c r="X89" s="36">
        <v>0</v>
      </c>
      <c r="Y89" s="31"/>
      <c r="Z89" s="37">
        <v>332768</v>
      </c>
      <c r="AA89" s="31"/>
      <c r="AB89" s="40">
        <f t="shared" si="4"/>
        <v>1377863</v>
      </c>
      <c r="AC89" s="31"/>
      <c r="AD89" s="38"/>
      <c r="AE89" s="31"/>
      <c r="AF89" s="39"/>
      <c r="AG89" s="39"/>
      <c r="AH89" s="39">
        <v>50000</v>
      </c>
      <c r="AI89" s="39">
        <v>-780159</v>
      </c>
      <c r="AJ89" s="31"/>
      <c r="AK89" s="40">
        <f t="shared" si="3"/>
        <v>-730159</v>
      </c>
    </row>
    <row r="90" spans="1:37" s="2" customFormat="1" ht="23.25" customHeight="1">
      <c r="A90" s="51" t="s">
        <v>204</v>
      </c>
      <c r="B90" s="14" t="s">
        <v>205</v>
      </c>
      <c r="C90" s="29" t="s">
        <v>8</v>
      </c>
      <c r="D90" s="15" t="s">
        <v>407</v>
      </c>
      <c r="E90" s="46" t="s">
        <v>387</v>
      </c>
      <c r="F90" s="31">
        <v>-137948.48999997973</v>
      </c>
      <c r="G90" s="31">
        <v>-43658.835651679852</v>
      </c>
      <c r="H90" s="31">
        <v>-7383.0269173004999</v>
      </c>
      <c r="I90" s="31">
        <v>-146667</v>
      </c>
      <c r="J90" s="31">
        <v>0</v>
      </c>
      <c r="K90" s="31"/>
      <c r="L90" s="31">
        <v>500217</v>
      </c>
      <c r="M90" s="31">
        <v>354648</v>
      </c>
      <c r="N90" s="31">
        <v>366288</v>
      </c>
      <c r="O90" s="31"/>
      <c r="P90" s="31">
        <v>358728</v>
      </c>
      <c r="Q90" s="31"/>
      <c r="R90" s="31">
        <v>222515</v>
      </c>
      <c r="S90" s="31">
        <v>1138710</v>
      </c>
      <c r="T90" s="31">
        <v>223592.08964721687</v>
      </c>
      <c r="U90" s="31"/>
      <c r="V90" s="31">
        <v>109729</v>
      </c>
      <c r="W90" s="31"/>
      <c r="X90" s="31">
        <v>97436</v>
      </c>
      <c r="Y90" s="31"/>
      <c r="Z90" s="31">
        <v>58100</v>
      </c>
      <c r="AA90" s="31"/>
      <c r="AB90" s="41">
        <f t="shared" si="4"/>
        <v>1208776.5100000203</v>
      </c>
      <c r="AC90" s="31"/>
      <c r="AD90" s="38"/>
      <c r="AE90" s="31"/>
      <c r="AF90" s="31"/>
      <c r="AG90" s="31"/>
      <c r="AH90" s="31"/>
      <c r="AI90" s="31">
        <v>-874549</v>
      </c>
      <c r="AJ90" s="31"/>
      <c r="AK90" s="41">
        <f t="shared" si="3"/>
        <v>-874549</v>
      </c>
    </row>
    <row r="91" spans="1:37" s="2" customFormat="1" ht="23.25" customHeight="1">
      <c r="A91" s="51" t="s">
        <v>29</v>
      </c>
      <c r="B91" s="11" t="s">
        <v>30</v>
      </c>
      <c r="C91" s="28" t="s">
        <v>28</v>
      </c>
      <c r="D91" s="11" t="s">
        <v>408</v>
      </c>
      <c r="E91" s="46" t="s">
        <v>387</v>
      </c>
      <c r="F91" s="30">
        <v>0</v>
      </c>
      <c r="G91" s="31">
        <v>0</v>
      </c>
      <c r="H91" s="31">
        <v>0</v>
      </c>
      <c r="I91" s="31">
        <v>0</v>
      </c>
      <c r="J91" s="31">
        <v>0</v>
      </c>
      <c r="K91" s="32"/>
      <c r="L91" s="36">
        <v>0</v>
      </c>
      <c r="M91" s="31">
        <v>384202</v>
      </c>
      <c r="N91" s="31" t="s">
        <v>387</v>
      </c>
      <c r="O91" s="31"/>
      <c r="P91" s="33">
        <v>0</v>
      </c>
      <c r="Q91" s="31"/>
      <c r="R91" s="35">
        <v>605</v>
      </c>
      <c r="S91" s="31">
        <v>6758</v>
      </c>
      <c r="T91" s="31">
        <v>0</v>
      </c>
      <c r="U91" s="31"/>
      <c r="V91" s="34">
        <v>0</v>
      </c>
      <c r="W91" s="31"/>
      <c r="X91" s="36">
        <v>0</v>
      </c>
      <c r="Y91" s="31"/>
      <c r="Z91" s="37" t="s">
        <v>387</v>
      </c>
      <c r="AA91" s="31"/>
      <c r="AB91" s="40">
        <f t="shared" si="4"/>
        <v>605</v>
      </c>
      <c r="AC91" s="31"/>
      <c r="AD91" s="38"/>
      <c r="AE91" s="31"/>
      <c r="AF91" s="39"/>
      <c r="AG91" s="39"/>
      <c r="AH91" s="39"/>
      <c r="AI91" s="39">
        <v>0</v>
      </c>
      <c r="AJ91" s="31"/>
      <c r="AK91" s="40">
        <f t="shared" si="3"/>
        <v>0</v>
      </c>
    </row>
    <row r="92" spans="1:37" s="2" customFormat="1" ht="23.25" customHeight="1">
      <c r="A92" s="51" t="s">
        <v>70</v>
      </c>
      <c r="B92" s="14" t="s">
        <v>71</v>
      </c>
      <c r="C92" s="29" t="s">
        <v>8</v>
      </c>
      <c r="D92" s="15" t="s">
        <v>408</v>
      </c>
      <c r="E92" s="46" t="s">
        <v>387</v>
      </c>
      <c r="F92" s="31">
        <v>46667</v>
      </c>
      <c r="G92" s="31">
        <v>0</v>
      </c>
      <c r="H92" s="31">
        <v>-43392.107799999998</v>
      </c>
      <c r="I92" s="31">
        <v>0</v>
      </c>
      <c r="J92" s="31">
        <v>58333.333338670003</v>
      </c>
      <c r="K92" s="31"/>
      <c r="L92" s="31">
        <v>77619</v>
      </c>
      <c r="M92" s="31">
        <v>59108</v>
      </c>
      <c r="N92" s="31" t="s">
        <v>387</v>
      </c>
      <c r="O92" s="31"/>
      <c r="P92" s="31">
        <v>59788</v>
      </c>
      <c r="Q92" s="31"/>
      <c r="R92" s="31">
        <v>49835</v>
      </c>
      <c r="S92" s="31">
        <v>529696</v>
      </c>
      <c r="T92" s="31">
        <v>88544.518010607513</v>
      </c>
      <c r="U92" s="31"/>
      <c r="V92" s="31">
        <v>47123</v>
      </c>
      <c r="W92" s="31"/>
      <c r="X92" s="31">
        <v>0</v>
      </c>
      <c r="Y92" s="31"/>
      <c r="Z92" s="31" t="s">
        <v>387</v>
      </c>
      <c r="AA92" s="31"/>
      <c r="AB92" s="41">
        <f t="shared" si="4"/>
        <v>281032</v>
      </c>
      <c r="AC92" s="31"/>
      <c r="AD92" s="38"/>
      <c r="AE92" s="31"/>
      <c r="AF92" s="31"/>
      <c r="AG92" s="31"/>
      <c r="AH92" s="31">
        <v>100000</v>
      </c>
      <c r="AI92" s="31">
        <v>-71360</v>
      </c>
      <c r="AJ92" s="31"/>
      <c r="AK92" s="41">
        <f t="shared" si="3"/>
        <v>28640</v>
      </c>
    </row>
    <row r="93" spans="1:37" s="2" customFormat="1" ht="23.25" customHeight="1">
      <c r="A93" s="51" t="s">
        <v>78</v>
      </c>
      <c r="B93" s="11" t="s">
        <v>79</v>
      </c>
      <c r="C93" s="28" t="s">
        <v>35</v>
      </c>
      <c r="D93" s="11" t="s">
        <v>408</v>
      </c>
      <c r="E93" s="46" t="s">
        <v>387</v>
      </c>
      <c r="F93" s="30">
        <v>89595</v>
      </c>
      <c r="G93" s="31">
        <v>0</v>
      </c>
      <c r="H93" s="31">
        <v>0</v>
      </c>
      <c r="I93" s="31">
        <v>0</v>
      </c>
      <c r="J93" s="31">
        <v>0</v>
      </c>
      <c r="K93" s="32"/>
      <c r="L93" s="36">
        <v>575559</v>
      </c>
      <c r="M93" s="31" t="s">
        <v>387</v>
      </c>
      <c r="N93" s="31" t="s">
        <v>387</v>
      </c>
      <c r="O93" s="31"/>
      <c r="P93" s="33">
        <v>0</v>
      </c>
      <c r="Q93" s="31"/>
      <c r="R93" s="35">
        <v>100986</v>
      </c>
      <c r="S93" s="31">
        <v>514116</v>
      </c>
      <c r="T93" s="31">
        <v>146416.95794488178</v>
      </c>
      <c r="U93" s="31"/>
      <c r="V93" s="34">
        <v>86672</v>
      </c>
      <c r="W93" s="31"/>
      <c r="X93" s="36">
        <v>0</v>
      </c>
      <c r="Y93" s="31"/>
      <c r="Z93" s="37">
        <v>-22766</v>
      </c>
      <c r="AA93" s="31"/>
      <c r="AB93" s="40">
        <f t="shared" si="4"/>
        <v>830046</v>
      </c>
      <c r="AC93" s="31"/>
      <c r="AD93" s="38"/>
      <c r="AE93" s="31"/>
      <c r="AF93" s="39"/>
      <c r="AG93" s="39"/>
      <c r="AH93" s="39">
        <v>0</v>
      </c>
      <c r="AI93" s="39">
        <v>-255240</v>
      </c>
      <c r="AJ93" s="31"/>
      <c r="AK93" s="40">
        <f t="shared" si="3"/>
        <v>-255240</v>
      </c>
    </row>
    <row r="94" spans="1:37" s="2" customFormat="1" ht="23.25" customHeight="1">
      <c r="A94" s="51" t="s">
        <v>82</v>
      </c>
      <c r="B94" s="14" t="s">
        <v>83</v>
      </c>
      <c r="C94" s="29" t="s">
        <v>5</v>
      </c>
      <c r="D94" s="15" t="s">
        <v>408</v>
      </c>
      <c r="E94" s="46" t="s">
        <v>387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/>
      <c r="L94" s="31">
        <v>67192</v>
      </c>
      <c r="M94" s="31" t="s">
        <v>387</v>
      </c>
      <c r="N94" s="31" t="s">
        <v>387</v>
      </c>
      <c r="O94" s="31"/>
      <c r="P94" s="31">
        <v>0</v>
      </c>
      <c r="Q94" s="31"/>
      <c r="R94" s="31">
        <v>11936</v>
      </c>
      <c r="S94" s="31">
        <v>62445</v>
      </c>
      <c r="T94" s="31">
        <v>11047.588425054761</v>
      </c>
      <c r="U94" s="31"/>
      <c r="V94" s="31">
        <v>0</v>
      </c>
      <c r="W94" s="31"/>
      <c r="X94" s="31">
        <v>0</v>
      </c>
      <c r="Y94" s="31"/>
      <c r="Z94" s="31">
        <v>-866</v>
      </c>
      <c r="AA94" s="31"/>
      <c r="AB94" s="41">
        <f t="shared" si="4"/>
        <v>78262</v>
      </c>
      <c r="AC94" s="31"/>
      <c r="AD94" s="38"/>
      <c r="AE94" s="31"/>
      <c r="AF94" s="31"/>
      <c r="AG94" s="31"/>
      <c r="AH94" s="31">
        <v>600000</v>
      </c>
      <c r="AI94" s="31">
        <v>-43953</v>
      </c>
      <c r="AJ94" s="31"/>
      <c r="AK94" s="41">
        <f t="shared" si="3"/>
        <v>556047</v>
      </c>
    </row>
    <row r="95" spans="1:37" s="2" customFormat="1" ht="23.25" customHeight="1">
      <c r="A95" s="51" t="s">
        <v>153</v>
      </c>
      <c r="B95" s="11" t="s">
        <v>154</v>
      </c>
      <c r="C95" s="28" t="s">
        <v>5</v>
      </c>
      <c r="D95" s="11" t="s">
        <v>408</v>
      </c>
      <c r="E95" s="46" t="s">
        <v>387</v>
      </c>
      <c r="F95" s="30">
        <v>-8013.0500000119209</v>
      </c>
      <c r="G95" s="31">
        <v>0</v>
      </c>
      <c r="H95" s="31">
        <v>0</v>
      </c>
      <c r="I95" s="31">
        <v>0</v>
      </c>
      <c r="J95" s="31">
        <v>-22386.5</v>
      </c>
      <c r="K95" s="32"/>
      <c r="L95" s="36">
        <v>419886</v>
      </c>
      <c r="M95" s="31">
        <v>384202</v>
      </c>
      <c r="N95" s="31">
        <v>488384</v>
      </c>
      <c r="O95" s="31"/>
      <c r="P95" s="33">
        <v>538092</v>
      </c>
      <c r="Q95" s="31"/>
      <c r="R95" s="35">
        <v>179782</v>
      </c>
      <c r="S95" s="31">
        <v>1252563</v>
      </c>
      <c r="T95" s="31">
        <v>264040.88984655589</v>
      </c>
      <c r="U95" s="31"/>
      <c r="V95" s="34">
        <v>154041</v>
      </c>
      <c r="W95" s="31"/>
      <c r="X95" s="36">
        <v>0</v>
      </c>
      <c r="Y95" s="31"/>
      <c r="Z95" s="37">
        <v>77256</v>
      </c>
      <c r="AA95" s="31"/>
      <c r="AB95" s="40">
        <f t="shared" si="4"/>
        <v>1361043.9499999881</v>
      </c>
      <c r="AC95" s="31"/>
      <c r="AD95" s="38"/>
      <c r="AE95" s="31"/>
      <c r="AF95" s="39"/>
      <c r="AG95" s="39"/>
      <c r="AH95" s="39"/>
      <c r="AI95" s="39">
        <v>-1086397</v>
      </c>
      <c r="AJ95" s="31"/>
      <c r="AK95" s="40">
        <f t="shared" si="3"/>
        <v>-1086397</v>
      </c>
    </row>
    <row r="96" spans="1:37" s="2" customFormat="1" ht="23.25" customHeight="1">
      <c r="A96" s="51" t="s">
        <v>155</v>
      </c>
      <c r="B96" s="14" t="s">
        <v>156</v>
      </c>
      <c r="C96" s="29" t="s">
        <v>8</v>
      </c>
      <c r="D96" s="15" t="s">
        <v>408</v>
      </c>
      <c r="E96" s="46" t="s">
        <v>387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/>
      <c r="L96" s="31">
        <v>0</v>
      </c>
      <c r="M96" s="31" t="s">
        <v>387</v>
      </c>
      <c r="N96" s="31" t="s">
        <v>387</v>
      </c>
      <c r="O96" s="31"/>
      <c r="P96" s="31">
        <v>0</v>
      </c>
      <c r="Q96" s="31"/>
      <c r="R96" s="31">
        <v>50871</v>
      </c>
      <c r="S96" s="31">
        <v>485788</v>
      </c>
      <c r="T96" s="31">
        <v>86350.316636328003</v>
      </c>
      <c r="U96" s="31"/>
      <c r="V96" s="31">
        <v>44312</v>
      </c>
      <c r="W96" s="31"/>
      <c r="X96" s="31">
        <v>0</v>
      </c>
      <c r="Y96" s="31"/>
      <c r="Z96" s="31">
        <v>-19216</v>
      </c>
      <c r="AA96" s="31"/>
      <c r="AB96" s="41">
        <f t="shared" si="4"/>
        <v>75967</v>
      </c>
      <c r="AC96" s="31"/>
      <c r="AD96" s="38"/>
      <c r="AE96" s="31"/>
      <c r="AF96" s="31"/>
      <c r="AG96" s="31"/>
      <c r="AH96" s="31"/>
      <c r="AI96" s="31">
        <v>-448246</v>
      </c>
      <c r="AJ96" s="31"/>
      <c r="AK96" s="41">
        <f t="shared" si="3"/>
        <v>-448246</v>
      </c>
    </row>
    <row r="97" spans="1:37" s="2" customFormat="1" ht="23.25" customHeight="1">
      <c r="A97" s="51" t="s">
        <v>157</v>
      </c>
      <c r="B97" s="11" t="s">
        <v>158</v>
      </c>
      <c r="C97" s="28" t="s">
        <v>5</v>
      </c>
      <c r="D97" s="11" t="s">
        <v>408</v>
      </c>
      <c r="E97" s="46" t="s">
        <v>387</v>
      </c>
      <c r="F97" s="30">
        <v>-70228.010000005364</v>
      </c>
      <c r="G97" s="31">
        <v>0</v>
      </c>
      <c r="H97" s="31">
        <v>-43392.107799999998</v>
      </c>
      <c r="I97" s="31">
        <v>0</v>
      </c>
      <c r="J97" s="31">
        <v>0</v>
      </c>
      <c r="K97" s="32"/>
      <c r="L97" s="36">
        <v>216210</v>
      </c>
      <c r="M97" s="31">
        <v>118216</v>
      </c>
      <c r="N97" s="31">
        <v>91572</v>
      </c>
      <c r="O97" s="31"/>
      <c r="P97" s="33">
        <v>119576</v>
      </c>
      <c r="Q97" s="31"/>
      <c r="R97" s="35">
        <v>118212</v>
      </c>
      <c r="S97" s="31">
        <v>622452</v>
      </c>
      <c r="T97" s="31">
        <v>126220.07201940315</v>
      </c>
      <c r="U97" s="31"/>
      <c r="V97" s="34">
        <v>108786</v>
      </c>
      <c r="W97" s="31"/>
      <c r="X97" s="36">
        <v>0</v>
      </c>
      <c r="Y97" s="31"/>
      <c r="Z97" s="37">
        <v>-29592</v>
      </c>
      <c r="AA97" s="31"/>
      <c r="AB97" s="40">
        <f t="shared" si="4"/>
        <v>462963.98999999464</v>
      </c>
      <c r="AC97" s="31"/>
      <c r="AD97" s="38"/>
      <c r="AE97" s="31"/>
      <c r="AF97" s="39"/>
      <c r="AG97" s="39"/>
      <c r="AH97" s="39"/>
      <c r="AI97" s="39">
        <v>-591741</v>
      </c>
      <c r="AJ97" s="31"/>
      <c r="AK97" s="40">
        <f t="shared" si="3"/>
        <v>-591741</v>
      </c>
    </row>
    <row r="98" spans="1:37" s="2" customFormat="1" ht="23.25" customHeight="1">
      <c r="A98" s="51" t="s">
        <v>159</v>
      </c>
      <c r="B98" s="14" t="s">
        <v>160</v>
      </c>
      <c r="C98" s="29" t="s">
        <v>38</v>
      </c>
      <c r="D98" s="15" t="s">
        <v>408</v>
      </c>
      <c r="E98" s="46" t="s">
        <v>387</v>
      </c>
      <c r="F98" s="31">
        <v>-1307154.5499999821</v>
      </c>
      <c r="G98" s="31">
        <v>265741.9002758452</v>
      </c>
      <c r="H98" s="31">
        <v>-7383.0269173004999</v>
      </c>
      <c r="I98" s="31">
        <v>-386667</v>
      </c>
      <c r="J98" s="31">
        <v>0</v>
      </c>
      <c r="K98" s="31"/>
      <c r="L98" s="31">
        <v>1437579</v>
      </c>
      <c r="M98" s="31">
        <v>59108</v>
      </c>
      <c r="N98" s="31" t="s">
        <v>387</v>
      </c>
      <c r="O98" s="31"/>
      <c r="P98" s="31">
        <v>29894</v>
      </c>
      <c r="Q98" s="31"/>
      <c r="R98" s="31">
        <v>335683</v>
      </c>
      <c r="S98" s="31">
        <v>1796379</v>
      </c>
      <c r="T98" s="31">
        <v>378075.65774237906</v>
      </c>
      <c r="U98" s="31"/>
      <c r="V98" s="31">
        <v>20128</v>
      </c>
      <c r="W98" s="31"/>
      <c r="X98" s="31">
        <v>24359</v>
      </c>
      <c r="Y98" s="31"/>
      <c r="Z98" s="31">
        <v>2840</v>
      </c>
      <c r="AA98" s="31"/>
      <c r="AB98" s="41">
        <f t="shared" si="4"/>
        <v>543328.45000001788</v>
      </c>
      <c r="AC98" s="31"/>
      <c r="AD98" s="38"/>
      <c r="AE98" s="31"/>
      <c r="AF98" s="31"/>
      <c r="AG98" s="31"/>
      <c r="AH98" s="31"/>
      <c r="AI98" s="31">
        <v>-1122446</v>
      </c>
      <c r="AJ98" s="31"/>
      <c r="AK98" s="41">
        <v>234593994</v>
      </c>
    </row>
    <row r="99" spans="1:37" s="2" customFormat="1" ht="23.25" customHeight="1">
      <c r="A99" s="51" t="s">
        <v>161</v>
      </c>
      <c r="B99" s="11" t="s">
        <v>162</v>
      </c>
      <c r="C99" s="28" t="s">
        <v>38</v>
      </c>
      <c r="D99" s="11" t="s">
        <v>408</v>
      </c>
      <c r="E99" s="46" t="s">
        <v>387</v>
      </c>
      <c r="F99" s="30">
        <v>-562337.41999998689</v>
      </c>
      <c r="G99" s="31">
        <v>16142.070978192423</v>
      </c>
      <c r="H99" s="31">
        <v>0</v>
      </c>
      <c r="I99" s="31">
        <v>-733333</v>
      </c>
      <c r="J99" s="31">
        <v>0</v>
      </c>
      <c r="K99" s="32"/>
      <c r="L99" s="36">
        <v>891451</v>
      </c>
      <c r="M99" s="31">
        <v>88662</v>
      </c>
      <c r="N99" s="31" t="s">
        <v>387</v>
      </c>
      <c r="O99" s="31"/>
      <c r="P99" s="33">
        <v>59788</v>
      </c>
      <c r="Q99" s="31"/>
      <c r="R99" s="35">
        <v>327104</v>
      </c>
      <c r="S99" s="31">
        <v>1773914</v>
      </c>
      <c r="T99" s="31">
        <v>278310.65851020609</v>
      </c>
      <c r="U99" s="31"/>
      <c r="V99" s="34">
        <v>37563</v>
      </c>
      <c r="W99" s="31"/>
      <c r="X99" s="36">
        <v>24359</v>
      </c>
      <c r="Y99" s="31"/>
      <c r="Z99" s="37">
        <v>-52516</v>
      </c>
      <c r="AA99" s="31"/>
      <c r="AB99" s="40">
        <f t="shared" si="4"/>
        <v>725411.58000001311</v>
      </c>
      <c r="AC99" s="31"/>
      <c r="AD99" s="38"/>
      <c r="AE99" s="31"/>
      <c r="AF99" s="39"/>
      <c r="AG99" s="39"/>
      <c r="AH99" s="39"/>
      <c r="AI99" s="39">
        <v>-1267141</v>
      </c>
      <c r="AJ99" s="31"/>
      <c r="AK99" s="40">
        <f t="shared" si="3"/>
        <v>-1267141</v>
      </c>
    </row>
    <row r="100" spans="1:37" s="2" customFormat="1" ht="23.25" customHeight="1">
      <c r="A100" s="51" t="s">
        <v>447</v>
      </c>
      <c r="B100" s="14" t="s">
        <v>438</v>
      </c>
      <c r="C100" s="29" t="s">
        <v>435</v>
      </c>
      <c r="D100" s="15" t="s">
        <v>408</v>
      </c>
      <c r="E100" s="46" t="s">
        <v>387</v>
      </c>
      <c r="F100" s="31">
        <v>121003.74000000954</v>
      </c>
      <c r="G100" s="31"/>
      <c r="H100" s="31"/>
      <c r="I100" s="31"/>
      <c r="J100" s="31"/>
      <c r="K100" s="31"/>
      <c r="L100" s="31">
        <v>1166596</v>
      </c>
      <c r="M100" s="31"/>
      <c r="N100" s="31"/>
      <c r="O100" s="31"/>
      <c r="P100" s="31">
        <v>0</v>
      </c>
      <c r="Q100" s="31"/>
      <c r="R100" s="31">
        <v>687743</v>
      </c>
      <c r="S100" s="31"/>
      <c r="T100" s="31"/>
      <c r="U100" s="31"/>
      <c r="V100" s="31">
        <v>267235</v>
      </c>
      <c r="W100" s="31"/>
      <c r="X100" s="31">
        <v>24359</v>
      </c>
      <c r="Y100" s="31"/>
      <c r="Z100" s="31">
        <v>350824</v>
      </c>
      <c r="AA100" s="31"/>
      <c r="AB100" s="41">
        <f t="shared" si="4"/>
        <v>2617760.7400000095</v>
      </c>
      <c r="AC100" s="31"/>
      <c r="AD100" s="38"/>
      <c r="AE100" s="31"/>
      <c r="AF100" s="31"/>
      <c r="AG100" s="31"/>
      <c r="AH100" s="31">
        <v>350000</v>
      </c>
      <c r="AI100" s="31"/>
      <c r="AJ100" s="31"/>
      <c r="AK100" s="41"/>
    </row>
    <row r="101" spans="1:37" s="2" customFormat="1" ht="23.25" customHeight="1">
      <c r="A101" s="51" t="s">
        <v>210</v>
      </c>
      <c r="B101" s="11" t="s">
        <v>211</v>
      </c>
      <c r="C101" s="28" t="s">
        <v>5</v>
      </c>
      <c r="D101" s="11" t="s">
        <v>408</v>
      </c>
      <c r="E101" s="46" t="s">
        <v>387</v>
      </c>
      <c r="F101" s="30">
        <v>0</v>
      </c>
      <c r="G101" s="31">
        <v>0</v>
      </c>
      <c r="H101" s="31">
        <v>0</v>
      </c>
      <c r="I101" s="31">
        <v>0</v>
      </c>
      <c r="J101" s="31">
        <v>0</v>
      </c>
      <c r="K101" s="32"/>
      <c r="L101" s="36">
        <v>36725</v>
      </c>
      <c r="M101" s="31">
        <v>59108</v>
      </c>
      <c r="N101" s="31" t="s">
        <v>387</v>
      </c>
      <c r="O101" s="31"/>
      <c r="P101" s="33"/>
      <c r="Q101" s="31"/>
      <c r="R101" s="35">
        <v>57232</v>
      </c>
      <c r="S101" s="31">
        <v>437617</v>
      </c>
      <c r="T101" s="31">
        <v>73427.797399718271</v>
      </c>
      <c r="U101" s="31"/>
      <c r="V101" s="34">
        <v>78476</v>
      </c>
      <c r="W101" s="31"/>
      <c r="X101" s="36">
        <v>0</v>
      </c>
      <c r="Y101" s="31"/>
      <c r="Z101" s="37" t="s">
        <v>387</v>
      </c>
      <c r="AA101" s="31"/>
      <c r="AB101" s="40">
        <f t="shared" si="4"/>
        <v>172433</v>
      </c>
      <c r="AC101" s="31"/>
      <c r="AD101" s="38"/>
      <c r="AE101" s="31"/>
      <c r="AF101" s="39"/>
      <c r="AG101" s="39"/>
      <c r="AH101" s="39">
        <v>200000</v>
      </c>
      <c r="AI101" s="39">
        <v>-56013</v>
      </c>
      <c r="AJ101" s="31"/>
      <c r="AK101" s="40">
        <f t="shared" si="3"/>
        <v>143987</v>
      </c>
    </row>
    <row r="102" spans="1:37" s="2" customFormat="1" ht="23.25" customHeight="1">
      <c r="A102" s="51" t="s">
        <v>268</v>
      </c>
      <c r="B102" s="14" t="s">
        <v>269</v>
      </c>
      <c r="C102" s="29" t="s">
        <v>28</v>
      </c>
      <c r="D102" s="15" t="s">
        <v>408</v>
      </c>
      <c r="E102" s="46" t="s">
        <v>387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  <c r="K102" s="31"/>
      <c r="L102" s="31" t="s">
        <v>387</v>
      </c>
      <c r="M102" s="31" t="s">
        <v>387</v>
      </c>
      <c r="N102" s="31" t="s">
        <v>387</v>
      </c>
      <c r="O102" s="31"/>
      <c r="P102" s="31"/>
      <c r="Q102" s="31"/>
      <c r="R102" s="31" t="s">
        <v>387</v>
      </c>
      <c r="S102" s="31">
        <v>0</v>
      </c>
      <c r="T102" s="31">
        <v>0</v>
      </c>
      <c r="U102" s="31"/>
      <c r="V102" s="31" t="s">
        <v>387</v>
      </c>
      <c r="W102" s="31"/>
      <c r="X102" s="31">
        <v>0</v>
      </c>
      <c r="Y102" s="31"/>
      <c r="Z102" s="31" t="s">
        <v>387</v>
      </c>
      <c r="AA102" s="31"/>
      <c r="AB102" s="41">
        <f t="shared" si="4"/>
        <v>0</v>
      </c>
      <c r="AC102" s="31"/>
      <c r="AD102" s="38"/>
      <c r="AE102" s="31"/>
      <c r="AF102" s="31"/>
      <c r="AG102" s="31"/>
      <c r="AH102" s="31"/>
      <c r="AI102" s="31">
        <v>0</v>
      </c>
      <c r="AJ102" s="31"/>
      <c r="AK102" s="41">
        <f t="shared" ref="AK102:AK134" si="5">SUM(AF102:AI102)</f>
        <v>0</v>
      </c>
    </row>
    <row r="103" spans="1:37" s="2" customFormat="1" ht="23.25" customHeight="1">
      <c r="A103" s="51" t="s">
        <v>270</v>
      </c>
      <c r="B103" s="11" t="s">
        <v>271</v>
      </c>
      <c r="C103" s="28" t="s">
        <v>28</v>
      </c>
      <c r="D103" s="11" t="s">
        <v>408</v>
      </c>
      <c r="E103" s="46" t="s">
        <v>387</v>
      </c>
      <c r="F103" s="30">
        <v>0</v>
      </c>
      <c r="G103" s="31">
        <v>0</v>
      </c>
      <c r="H103" s="31">
        <v>0</v>
      </c>
      <c r="I103" s="31">
        <v>0</v>
      </c>
      <c r="J103" s="31">
        <v>0</v>
      </c>
      <c r="K103" s="32"/>
      <c r="L103" s="36">
        <v>0</v>
      </c>
      <c r="M103" s="31" t="s">
        <v>387</v>
      </c>
      <c r="N103" s="31">
        <v>0</v>
      </c>
      <c r="O103" s="31"/>
      <c r="P103" s="33"/>
      <c r="Q103" s="31"/>
      <c r="R103" s="35">
        <v>1498</v>
      </c>
      <c r="S103" s="31">
        <v>25308</v>
      </c>
      <c r="T103" s="31">
        <v>0</v>
      </c>
      <c r="U103" s="31"/>
      <c r="V103" s="34">
        <v>0</v>
      </c>
      <c r="W103" s="31"/>
      <c r="X103" s="36">
        <v>0</v>
      </c>
      <c r="Y103" s="31"/>
      <c r="Z103" s="37" t="s">
        <v>387</v>
      </c>
      <c r="AA103" s="31"/>
      <c r="AB103" s="40">
        <f t="shared" si="4"/>
        <v>1498</v>
      </c>
      <c r="AC103" s="31"/>
      <c r="AD103" s="38"/>
      <c r="AE103" s="31"/>
      <c r="AF103" s="39"/>
      <c r="AG103" s="39"/>
      <c r="AH103" s="39"/>
      <c r="AI103" s="39">
        <v>0</v>
      </c>
      <c r="AJ103" s="31"/>
      <c r="AK103" s="40">
        <f t="shared" si="5"/>
        <v>0</v>
      </c>
    </row>
    <row r="104" spans="1:37" s="2" customFormat="1" ht="23.25" customHeight="1">
      <c r="A104" s="51" t="s">
        <v>272</v>
      </c>
      <c r="B104" s="14" t="s">
        <v>273</v>
      </c>
      <c r="C104" s="29" t="s">
        <v>28</v>
      </c>
      <c r="D104" s="15" t="s">
        <v>408</v>
      </c>
      <c r="E104" s="46" t="s">
        <v>387</v>
      </c>
      <c r="F104" s="31">
        <v>470472</v>
      </c>
      <c r="G104" s="31">
        <v>0</v>
      </c>
      <c r="H104" s="31">
        <v>0</v>
      </c>
      <c r="I104" s="31">
        <v>0</v>
      </c>
      <c r="J104" s="31">
        <v>0</v>
      </c>
      <c r="K104" s="31"/>
      <c r="L104" s="31">
        <v>0</v>
      </c>
      <c r="M104" s="31">
        <v>236432</v>
      </c>
      <c r="N104" s="31" t="s">
        <v>387</v>
      </c>
      <c r="O104" s="31"/>
      <c r="P104" s="31"/>
      <c r="Q104" s="31"/>
      <c r="R104" s="31">
        <v>1018</v>
      </c>
      <c r="S104" s="31">
        <v>15468</v>
      </c>
      <c r="T104" s="31">
        <v>0</v>
      </c>
      <c r="U104" s="31"/>
      <c r="V104" s="31">
        <v>0</v>
      </c>
      <c r="W104" s="31"/>
      <c r="X104" s="31">
        <v>0</v>
      </c>
      <c r="Y104" s="31"/>
      <c r="Z104" s="31" t="s">
        <v>387</v>
      </c>
      <c r="AA104" s="31"/>
      <c r="AB104" s="41">
        <f t="shared" si="4"/>
        <v>471490</v>
      </c>
      <c r="AC104" s="31"/>
      <c r="AD104" s="38"/>
      <c r="AE104" s="31"/>
      <c r="AF104" s="31"/>
      <c r="AG104" s="31"/>
      <c r="AH104" s="31"/>
      <c r="AI104" s="31">
        <v>0</v>
      </c>
      <c r="AJ104" s="31"/>
      <c r="AK104" s="41">
        <f t="shared" si="5"/>
        <v>0</v>
      </c>
    </row>
    <row r="105" spans="1:37" s="2" customFormat="1" ht="23.25" customHeight="1">
      <c r="A105" s="51" t="s">
        <v>274</v>
      </c>
      <c r="B105" s="11" t="s">
        <v>275</v>
      </c>
      <c r="C105" s="28" t="s">
        <v>28</v>
      </c>
      <c r="D105" s="11" t="s">
        <v>408</v>
      </c>
      <c r="E105" s="46" t="s">
        <v>387</v>
      </c>
      <c r="F105" s="30">
        <v>0</v>
      </c>
      <c r="G105" s="31">
        <v>0</v>
      </c>
      <c r="H105" s="31">
        <v>0</v>
      </c>
      <c r="I105" s="31">
        <v>0</v>
      </c>
      <c r="J105" s="31">
        <v>0</v>
      </c>
      <c r="K105" s="32"/>
      <c r="L105" s="36">
        <v>0</v>
      </c>
      <c r="M105" s="31" t="s">
        <v>387</v>
      </c>
      <c r="N105" s="31" t="s">
        <v>387</v>
      </c>
      <c r="O105" s="31"/>
      <c r="P105" s="33"/>
      <c r="Q105" s="31"/>
      <c r="R105" s="35">
        <v>62</v>
      </c>
      <c r="S105" s="31">
        <v>1050</v>
      </c>
      <c r="T105" s="31">
        <v>0</v>
      </c>
      <c r="U105" s="31"/>
      <c r="V105" s="34">
        <v>0</v>
      </c>
      <c r="W105" s="31"/>
      <c r="X105" s="36">
        <v>0</v>
      </c>
      <c r="Y105" s="31"/>
      <c r="Z105" s="37" t="s">
        <v>387</v>
      </c>
      <c r="AA105" s="31"/>
      <c r="AB105" s="40">
        <f t="shared" si="4"/>
        <v>62</v>
      </c>
      <c r="AC105" s="31"/>
      <c r="AD105" s="38"/>
      <c r="AE105" s="31"/>
      <c r="AF105" s="39"/>
      <c r="AG105" s="39"/>
      <c r="AH105" s="39"/>
      <c r="AI105" s="39">
        <v>-11239</v>
      </c>
      <c r="AJ105" s="31"/>
      <c r="AK105" s="40">
        <f t="shared" si="5"/>
        <v>-11239</v>
      </c>
    </row>
    <row r="106" spans="1:37" s="2" customFormat="1" ht="23.25" customHeight="1">
      <c r="A106" s="51" t="s">
        <v>276</v>
      </c>
      <c r="B106" s="14" t="s">
        <v>277</v>
      </c>
      <c r="C106" s="29" t="s">
        <v>28</v>
      </c>
      <c r="D106" s="15" t="s">
        <v>408</v>
      </c>
      <c r="E106" s="46" t="s">
        <v>387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/>
      <c r="L106" s="31" t="s">
        <v>387</v>
      </c>
      <c r="M106" s="31" t="s">
        <v>387</v>
      </c>
      <c r="N106" s="31" t="s">
        <v>387</v>
      </c>
      <c r="O106" s="31"/>
      <c r="P106" s="31"/>
      <c r="Q106" s="31"/>
      <c r="R106" s="31" t="s">
        <v>387</v>
      </c>
      <c r="S106" s="31">
        <v>56</v>
      </c>
      <c r="T106" s="31">
        <v>0</v>
      </c>
      <c r="U106" s="31"/>
      <c r="V106" s="31" t="s">
        <v>387</v>
      </c>
      <c r="W106" s="31"/>
      <c r="X106" s="31">
        <v>0</v>
      </c>
      <c r="Y106" s="31"/>
      <c r="Z106" s="31" t="s">
        <v>387</v>
      </c>
      <c r="AA106" s="31"/>
      <c r="AB106" s="41">
        <f t="shared" si="4"/>
        <v>0</v>
      </c>
      <c r="AC106" s="31"/>
      <c r="AD106" s="38"/>
      <c r="AE106" s="31"/>
      <c r="AF106" s="31"/>
      <c r="AG106" s="31"/>
      <c r="AH106" s="31"/>
      <c r="AI106" s="31">
        <v>-3907</v>
      </c>
      <c r="AJ106" s="31"/>
      <c r="AK106" s="41">
        <f t="shared" si="5"/>
        <v>-3907</v>
      </c>
    </row>
    <row r="107" spans="1:37" s="2" customFormat="1" ht="23.25" customHeight="1">
      <c r="A107" s="51" t="s">
        <v>278</v>
      </c>
      <c r="B107" s="11" t="s">
        <v>279</v>
      </c>
      <c r="C107" s="28" t="s">
        <v>28</v>
      </c>
      <c r="D107" s="11" t="s">
        <v>408</v>
      </c>
      <c r="E107" s="46" t="s">
        <v>387</v>
      </c>
      <c r="F107" s="30">
        <v>-105475</v>
      </c>
      <c r="G107" s="31">
        <v>0</v>
      </c>
      <c r="H107" s="31">
        <v>0</v>
      </c>
      <c r="I107" s="31">
        <v>0</v>
      </c>
      <c r="J107" s="31">
        <v>0</v>
      </c>
      <c r="K107" s="32"/>
      <c r="L107" s="36">
        <v>0</v>
      </c>
      <c r="M107" s="31" t="s">
        <v>387</v>
      </c>
      <c r="N107" s="31" t="s">
        <v>387</v>
      </c>
      <c r="O107" s="31"/>
      <c r="P107" s="33"/>
      <c r="Q107" s="31"/>
      <c r="R107" s="35">
        <v>1334</v>
      </c>
      <c r="S107" s="31">
        <v>22539</v>
      </c>
      <c r="T107" s="31">
        <v>0</v>
      </c>
      <c r="U107" s="31"/>
      <c r="V107" s="34">
        <v>0</v>
      </c>
      <c r="W107" s="31"/>
      <c r="X107" s="36">
        <v>0</v>
      </c>
      <c r="Y107" s="31"/>
      <c r="Z107" s="37" t="s">
        <v>387</v>
      </c>
      <c r="AA107" s="31"/>
      <c r="AB107" s="40">
        <f t="shared" si="4"/>
        <v>-104141</v>
      </c>
      <c r="AC107" s="31"/>
      <c r="AD107" s="38"/>
      <c r="AE107" s="31"/>
      <c r="AF107" s="39"/>
      <c r="AG107" s="39"/>
      <c r="AH107" s="39"/>
      <c r="AI107" s="39">
        <v>-32514</v>
      </c>
      <c r="AJ107" s="31"/>
      <c r="AK107" s="40">
        <f t="shared" si="5"/>
        <v>-32514</v>
      </c>
    </row>
    <row r="108" spans="1:37" s="2" customFormat="1" ht="23.25" customHeight="1">
      <c r="A108" s="51" t="s">
        <v>280</v>
      </c>
      <c r="B108" s="14" t="s">
        <v>281</v>
      </c>
      <c r="C108" s="29" t="s">
        <v>28</v>
      </c>
      <c r="D108" s="15" t="s">
        <v>408</v>
      </c>
      <c r="E108" s="46" t="s">
        <v>387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/>
      <c r="L108" s="31">
        <v>0</v>
      </c>
      <c r="M108" s="31" t="s">
        <v>387</v>
      </c>
      <c r="N108" s="31" t="s">
        <v>387</v>
      </c>
      <c r="O108" s="31"/>
      <c r="P108" s="31">
        <v>0</v>
      </c>
      <c r="Q108" s="31"/>
      <c r="R108" s="31">
        <v>333</v>
      </c>
      <c r="S108" s="31">
        <v>5623</v>
      </c>
      <c r="T108" s="31">
        <v>0</v>
      </c>
      <c r="U108" s="31"/>
      <c r="V108" s="31">
        <v>0</v>
      </c>
      <c r="W108" s="31"/>
      <c r="X108" s="31">
        <v>0</v>
      </c>
      <c r="Y108" s="31"/>
      <c r="Z108" s="31" t="s">
        <v>387</v>
      </c>
      <c r="AA108" s="31"/>
      <c r="AB108" s="41">
        <f t="shared" si="4"/>
        <v>333</v>
      </c>
      <c r="AC108" s="31"/>
      <c r="AD108" s="38"/>
      <c r="AE108" s="31"/>
      <c r="AF108" s="31"/>
      <c r="AG108" s="31"/>
      <c r="AH108" s="31"/>
      <c r="AI108" s="31">
        <v>-18593</v>
      </c>
      <c r="AJ108" s="31"/>
      <c r="AK108" s="41">
        <f t="shared" si="5"/>
        <v>-18593</v>
      </c>
    </row>
    <row r="109" spans="1:37" s="2" customFormat="1" ht="23.25" customHeight="1">
      <c r="A109" s="51" t="s">
        <v>282</v>
      </c>
      <c r="B109" s="11" t="s">
        <v>283</v>
      </c>
      <c r="C109" s="28" t="s">
        <v>28</v>
      </c>
      <c r="D109" s="11" t="s">
        <v>408</v>
      </c>
      <c r="E109" s="46" t="s">
        <v>387</v>
      </c>
      <c r="F109" s="30">
        <v>0</v>
      </c>
      <c r="G109" s="31">
        <v>0</v>
      </c>
      <c r="H109" s="31">
        <v>0</v>
      </c>
      <c r="I109" s="31">
        <v>0</v>
      </c>
      <c r="J109" s="31">
        <v>0</v>
      </c>
      <c r="K109" s="32"/>
      <c r="L109" s="36">
        <v>0</v>
      </c>
      <c r="M109" s="31" t="s">
        <v>387</v>
      </c>
      <c r="N109" s="31">
        <v>0</v>
      </c>
      <c r="O109" s="31"/>
      <c r="P109" s="33">
        <v>0</v>
      </c>
      <c r="Q109" s="31"/>
      <c r="R109" s="35">
        <v>390</v>
      </c>
      <c r="S109" s="31">
        <v>6593</v>
      </c>
      <c r="T109" s="31">
        <v>0</v>
      </c>
      <c r="U109" s="31"/>
      <c r="V109" s="34">
        <v>0</v>
      </c>
      <c r="W109" s="31"/>
      <c r="X109" s="36">
        <v>0</v>
      </c>
      <c r="Y109" s="31"/>
      <c r="Z109" s="37" t="s">
        <v>387</v>
      </c>
      <c r="AA109" s="31"/>
      <c r="AB109" s="40">
        <f t="shared" si="4"/>
        <v>390</v>
      </c>
      <c r="AC109" s="31"/>
      <c r="AD109" s="38"/>
      <c r="AE109" s="31"/>
      <c r="AF109" s="39"/>
      <c r="AG109" s="39"/>
      <c r="AH109" s="39"/>
      <c r="AI109" s="39">
        <v>-31942</v>
      </c>
      <c r="AJ109" s="31"/>
      <c r="AK109" s="40">
        <f t="shared" si="5"/>
        <v>-31942</v>
      </c>
    </row>
    <row r="110" spans="1:37" s="2" customFormat="1" ht="23.25" customHeight="1">
      <c r="A110" s="51" t="s">
        <v>90</v>
      </c>
      <c r="B110" s="14" t="s">
        <v>91</v>
      </c>
      <c r="C110" s="29" t="s">
        <v>11</v>
      </c>
      <c r="D110" s="15" t="s">
        <v>409</v>
      </c>
      <c r="E110" s="46" t="s">
        <v>387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/>
      <c r="L110" s="31">
        <v>73021</v>
      </c>
      <c r="M110" s="31" t="s">
        <v>387</v>
      </c>
      <c r="N110" s="31" t="s">
        <v>387</v>
      </c>
      <c r="O110" s="31"/>
      <c r="P110" s="31">
        <v>0</v>
      </c>
      <c r="Q110" s="31"/>
      <c r="R110" s="31">
        <v>10233</v>
      </c>
      <c r="S110" s="31">
        <v>75253</v>
      </c>
      <c r="T110" s="31">
        <v>18402.732391588706</v>
      </c>
      <c r="U110" s="31"/>
      <c r="V110" s="31">
        <v>0</v>
      </c>
      <c r="W110" s="31"/>
      <c r="X110" s="31">
        <v>0</v>
      </c>
      <c r="Y110" s="31"/>
      <c r="Z110" s="31">
        <v>-5588</v>
      </c>
      <c r="AA110" s="31"/>
      <c r="AB110" s="41">
        <f t="shared" si="4"/>
        <v>77666</v>
      </c>
      <c r="AC110" s="31"/>
      <c r="AD110" s="38"/>
      <c r="AE110" s="31"/>
      <c r="AF110" s="31"/>
      <c r="AG110" s="31"/>
      <c r="AH110" s="31">
        <v>120000</v>
      </c>
      <c r="AI110" s="31">
        <v>-52187</v>
      </c>
      <c r="AJ110" s="31"/>
      <c r="AK110" s="41">
        <f t="shared" si="5"/>
        <v>67813</v>
      </c>
    </row>
    <row r="111" spans="1:37" s="2" customFormat="1" ht="23.25" customHeight="1">
      <c r="A111" s="51" t="s">
        <v>118</v>
      </c>
      <c r="B111" s="11" t="s">
        <v>119</v>
      </c>
      <c r="C111" s="28" t="s">
        <v>38</v>
      </c>
      <c r="D111" s="11" t="s">
        <v>409</v>
      </c>
      <c r="E111" s="46" t="s">
        <v>387</v>
      </c>
      <c r="F111" s="30">
        <v>0</v>
      </c>
      <c r="G111" s="31">
        <v>0</v>
      </c>
      <c r="H111" s="31">
        <v>0</v>
      </c>
      <c r="I111" s="31">
        <v>0</v>
      </c>
      <c r="J111" s="31">
        <v>0</v>
      </c>
      <c r="K111" s="32"/>
      <c r="L111" s="36">
        <v>365447</v>
      </c>
      <c r="M111" s="31">
        <v>177324</v>
      </c>
      <c r="N111" s="31">
        <v>122096</v>
      </c>
      <c r="O111" s="31"/>
      <c r="P111" s="33">
        <v>119576</v>
      </c>
      <c r="Q111" s="31"/>
      <c r="R111" s="35">
        <v>57427</v>
      </c>
      <c r="S111" s="31">
        <v>413649</v>
      </c>
      <c r="T111" s="31">
        <v>83873.620411246971</v>
      </c>
      <c r="U111" s="31"/>
      <c r="V111" s="34">
        <v>26995</v>
      </c>
      <c r="W111" s="31"/>
      <c r="X111" s="36">
        <v>0</v>
      </c>
      <c r="Y111" s="31"/>
      <c r="Z111" s="37">
        <v>17792</v>
      </c>
      <c r="AA111" s="31"/>
      <c r="AB111" s="40">
        <f t="shared" si="4"/>
        <v>587237</v>
      </c>
      <c r="AC111" s="31"/>
      <c r="AD111" s="38"/>
      <c r="AE111" s="31"/>
      <c r="AF111" s="39"/>
      <c r="AG111" s="39"/>
      <c r="AH111" s="39">
        <v>100000</v>
      </c>
      <c r="AI111" s="39">
        <v>-380716</v>
      </c>
      <c r="AJ111" s="31"/>
      <c r="AK111" s="40">
        <f t="shared" si="5"/>
        <v>-280716</v>
      </c>
    </row>
    <row r="112" spans="1:37" s="2" customFormat="1" ht="23.25" customHeight="1">
      <c r="A112" s="51" t="s">
        <v>177</v>
      </c>
      <c r="B112" s="14" t="s">
        <v>178</v>
      </c>
      <c r="C112" s="29" t="s">
        <v>8</v>
      </c>
      <c r="D112" s="15" t="s">
        <v>409</v>
      </c>
      <c r="E112" s="46" t="s">
        <v>387</v>
      </c>
      <c r="F112" s="31">
        <v>-209508.61000001431</v>
      </c>
      <c r="G112" s="31">
        <v>-62932.607390378093</v>
      </c>
      <c r="H112" s="31">
        <v>0</v>
      </c>
      <c r="I112" s="31">
        <v>26222</v>
      </c>
      <c r="J112" s="31">
        <v>0</v>
      </c>
      <c r="K112" s="31"/>
      <c r="L112" s="31">
        <v>868225</v>
      </c>
      <c r="M112" s="31" t="s">
        <v>387</v>
      </c>
      <c r="N112" s="31">
        <v>61048</v>
      </c>
      <c r="O112" s="31"/>
      <c r="P112" s="31">
        <v>59788</v>
      </c>
      <c r="Q112" s="31"/>
      <c r="R112" s="31">
        <v>270633</v>
      </c>
      <c r="S112" s="31">
        <v>1384089</v>
      </c>
      <c r="T112" s="31">
        <v>311348.10834548628</v>
      </c>
      <c r="U112" s="31"/>
      <c r="V112" s="31">
        <v>37059</v>
      </c>
      <c r="W112" s="31"/>
      <c r="X112" s="31">
        <v>73077</v>
      </c>
      <c r="Y112" s="31"/>
      <c r="Z112" s="31">
        <v>207580</v>
      </c>
      <c r="AA112" s="31"/>
      <c r="AB112" s="41">
        <f t="shared" si="4"/>
        <v>1306853.3899999857</v>
      </c>
      <c r="AC112" s="31"/>
      <c r="AD112" s="38"/>
      <c r="AE112" s="31"/>
      <c r="AF112" s="31"/>
      <c r="AG112" s="31"/>
      <c r="AH112" s="31"/>
      <c r="AI112" s="31">
        <v>-985638</v>
      </c>
      <c r="AJ112" s="31"/>
      <c r="AK112" s="41">
        <f t="shared" si="5"/>
        <v>-985638</v>
      </c>
    </row>
    <row r="113" spans="1:37" s="2" customFormat="1" ht="23.25" customHeight="1">
      <c r="A113" s="51" t="s">
        <v>284</v>
      </c>
      <c r="B113" s="11" t="s">
        <v>285</v>
      </c>
      <c r="C113" s="28" t="s">
        <v>28</v>
      </c>
      <c r="D113" s="11" t="s">
        <v>409</v>
      </c>
      <c r="E113" s="46" t="s">
        <v>387</v>
      </c>
      <c r="F113" s="30">
        <v>0</v>
      </c>
      <c r="G113" s="31">
        <v>0</v>
      </c>
      <c r="H113" s="31">
        <v>0</v>
      </c>
      <c r="I113" s="31">
        <v>0</v>
      </c>
      <c r="J113" s="31">
        <v>0</v>
      </c>
      <c r="K113" s="32"/>
      <c r="L113" s="36" t="s">
        <v>387</v>
      </c>
      <c r="M113" s="31" t="s">
        <v>387</v>
      </c>
      <c r="N113" s="31">
        <v>0</v>
      </c>
      <c r="O113" s="31"/>
      <c r="P113" s="33"/>
      <c r="Q113" s="31"/>
      <c r="R113" s="35" t="s">
        <v>387</v>
      </c>
      <c r="S113" s="31">
        <v>0</v>
      </c>
      <c r="T113" s="31">
        <v>0</v>
      </c>
      <c r="U113" s="31"/>
      <c r="V113" s="34" t="s">
        <v>387</v>
      </c>
      <c r="W113" s="31"/>
      <c r="X113" s="36">
        <v>0</v>
      </c>
      <c r="Y113" s="31"/>
      <c r="Z113" s="37" t="s">
        <v>387</v>
      </c>
      <c r="AA113" s="31"/>
      <c r="AB113" s="40">
        <f t="shared" si="4"/>
        <v>0</v>
      </c>
      <c r="AC113" s="31"/>
      <c r="AD113" s="38"/>
      <c r="AE113" s="31"/>
      <c r="AF113" s="39"/>
      <c r="AG113" s="39"/>
      <c r="AH113" s="39"/>
      <c r="AI113" s="39">
        <v>0</v>
      </c>
      <c r="AJ113" s="31"/>
      <c r="AK113" s="40">
        <f t="shared" si="5"/>
        <v>0</v>
      </c>
    </row>
    <row r="114" spans="1:37" s="2" customFormat="1" ht="23.25" customHeight="1">
      <c r="A114" s="51"/>
      <c r="B114" s="14" t="s">
        <v>443</v>
      </c>
      <c r="C114" s="29" t="s">
        <v>28</v>
      </c>
      <c r="D114" s="15" t="s">
        <v>407</v>
      </c>
      <c r="E114" s="46" t="s">
        <v>387</v>
      </c>
      <c r="F114" s="31">
        <v>0</v>
      </c>
      <c r="G114" s="31"/>
      <c r="H114" s="31"/>
      <c r="I114" s="31"/>
      <c r="J114" s="31"/>
      <c r="K114" s="31"/>
      <c r="L114" s="31" t="s">
        <v>387</v>
      </c>
      <c r="M114" s="31"/>
      <c r="N114" s="31"/>
      <c r="O114" s="31"/>
      <c r="P114" s="31"/>
      <c r="Q114" s="31"/>
      <c r="R114" s="31" t="s">
        <v>387</v>
      </c>
      <c r="S114" s="31"/>
      <c r="T114" s="31"/>
      <c r="U114" s="31"/>
      <c r="V114" s="31" t="s">
        <v>387</v>
      </c>
      <c r="W114" s="31"/>
      <c r="X114" s="31">
        <v>0</v>
      </c>
      <c r="Y114" s="31"/>
      <c r="Z114" s="31" t="s">
        <v>387</v>
      </c>
      <c r="AA114" s="31"/>
      <c r="AB114" s="41">
        <f t="shared" si="4"/>
        <v>0</v>
      </c>
      <c r="AC114" s="31"/>
      <c r="AD114" s="38"/>
      <c r="AE114" s="31"/>
      <c r="AF114" s="31"/>
      <c r="AG114" s="31"/>
      <c r="AH114" s="31"/>
      <c r="AI114" s="31"/>
      <c r="AJ114" s="31"/>
      <c r="AK114" s="41"/>
    </row>
    <row r="115" spans="1:37" s="2" customFormat="1" ht="23.25" customHeight="1">
      <c r="A115" s="51" t="s">
        <v>179</v>
      </c>
      <c r="B115" s="11" t="s">
        <v>180</v>
      </c>
      <c r="C115" s="28" t="s">
        <v>11</v>
      </c>
      <c r="D115" s="11" t="s">
        <v>456</v>
      </c>
      <c r="E115" s="46" t="s">
        <v>387</v>
      </c>
      <c r="F115" s="30">
        <v>250000</v>
      </c>
      <c r="G115" s="31">
        <v>0</v>
      </c>
      <c r="H115" s="31">
        <v>0</v>
      </c>
      <c r="I115" s="31">
        <v>0</v>
      </c>
      <c r="J115" s="31">
        <v>0</v>
      </c>
      <c r="K115" s="32"/>
      <c r="L115" s="36">
        <v>0</v>
      </c>
      <c r="M115" s="31">
        <v>206878</v>
      </c>
      <c r="N115" s="31">
        <v>342872</v>
      </c>
      <c r="O115" s="31"/>
      <c r="P115" s="33">
        <v>340424</v>
      </c>
      <c r="Q115" s="31"/>
      <c r="R115" s="35">
        <v>34220</v>
      </c>
      <c r="S115" s="31">
        <v>158160</v>
      </c>
      <c r="T115" s="31">
        <v>31094.077267449793</v>
      </c>
      <c r="U115" s="31"/>
      <c r="V115" s="34">
        <v>0</v>
      </c>
      <c r="W115" s="31"/>
      <c r="X115" s="36">
        <v>0</v>
      </c>
      <c r="Y115" s="31"/>
      <c r="Z115" s="37">
        <v>28088</v>
      </c>
      <c r="AA115" s="31"/>
      <c r="AB115" s="40">
        <f t="shared" si="4"/>
        <v>652732</v>
      </c>
      <c r="AC115" s="31"/>
      <c r="AD115" s="38"/>
      <c r="AE115" s="31"/>
      <c r="AF115" s="39"/>
      <c r="AG115" s="39"/>
      <c r="AH115" s="39"/>
      <c r="AI115" s="39">
        <v>-146067</v>
      </c>
      <c r="AJ115" s="31"/>
      <c r="AK115" s="40">
        <f t="shared" si="5"/>
        <v>-146067</v>
      </c>
    </row>
    <row r="116" spans="1:37" s="2" customFormat="1" ht="23.25" customHeight="1">
      <c r="A116" s="51" t="s">
        <v>181</v>
      </c>
      <c r="B116" s="14" t="s">
        <v>182</v>
      </c>
      <c r="C116" s="29" t="s">
        <v>5</v>
      </c>
      <c r="D116" s="15" t="s">
        <v>410</v>
      </c>
      <c r="E116" s="46" t="s">
        <v>387</v>
      </c>
      <c r="F116" s="31">
        <v>667654.78000000119</v>
      </c>
      <c r="G116" s="31">
        <v>-78101.659243273389</v>
      </c>
      <c r="H116" s="31">
        <v>0</v>
      </c>
      <c r="I116" s="31">
        <v>-300000</v>
      </c>
      <c r="J116" s="31">
        <v>0</v>
      </c>
      <c r="K116" s="31"/>
      <c r="L116" s="31">
        <v>800804</v>
      </c>
      <c r="M116" s="31">
        <v>147770</v>
      </c>
      <c r="N116" s="31">
        <v>152620</v>
      </c>
      <c r="O116" s="31"/>
      <c r="P116" s="31">
        <v>149470</v>
      </c>
      <c r="Q116" s="31"/>
      <c r="R116" s="31">
        <v>289917</v>
      </c>
      <c r="S116" s="31">
        <v>1229731</v>
      </c>
      <c r="T116" s="31">
        <v>218330.29487941638</v>
      </c>
      <c r="U116" s="31"/>
      <c r="V116" s="31">
        <v>77433</v>
      </c>
      <c r="W116" s="31"/>
      <c r="X116" s="31">
        <v>73077</v>
      </c>
      <c r="Y116" s="31"/>
      <c r="Z116" s="31">
        <v>75496</v>
      </c>
      <c r="AA116" s="31"/>
      <c r="AB116" s="41">
        <f t="shared" si="4"/>
        <v>2133851.7800000012</v>
      </c>
      <c r="AC116" s="31"/>
      <c r="AD116" s="38"/>
      <c r="AE116" s="31"/>
      <c r="AF116" s="31"/>
      <c r="AG116" s="31"/>
      <c r="AH116" s="31">
        <v>205000</v>
      </c>
      <c r="AI116" s="31">
        <v>-754148</v>
      </c>
      <c r="AJ116" s="31"/>
      <c r="AK116" s="41">
        <f t="shared" si="5"/>
        <v>-549148</v>
      </c>
    </row>
    <row r="117" spans="1:37" s="2" customFormat="1" ht="23.25" customHeight="1">
      <c r="A117" s="51" t="s">
        <v>212</v>
      </c>
      <c r="B117" s="11" t="s">
        <v>213</v>
      </c>
      <c r="C117" s="28" t="s">
        <v>38</v>
      </c>
      <c r="D117" s="11" t="s">
        <v>410</v>
      </c>
      <c r="E117" s="46" t="s">
        <v>387</v>
      </c>
      <c r="F117" s="30">
        <v>189853</v>
      </c>
      <c r="G117" s="31">
        <v>0</v>
      </c>
      <c r="H117" s="31">
        <v>0</v>
      </c>
      <c r="I117" s="31">
        <v>0</v>
      </c>
      <c r="J117" s="31">
        <v>0</v>
      </c>
      <c r="K117" s="32"/>
      <c r="L117" s="36">
        <v>135650</v>
      </c>
      <c r="M117" s="31">
        <v>147770</v>
      </c>
      <c r="N117" s="31">
        <v>91572</v>
      </c>
      <c r="O117" s="31"/>
      <c r="P117" s="33">
        <v>89682</v>
      </c>
      <c r="Q117" s="31"/>
      <c r="R117" s="35">
        <v>22053</v>
      </c>
      <c r="S117" s="31">
        <v>151390</v>
      </c>
      <c r="T117" s="31">
        <v>29323.859359135022</v>
      </c>
      <c r="U117" s="31"/>
      <c r="V117" s="34">
        <v>72552</v>
      </c>
      <c r="W117" s="31"/>
      <c r="X117" s="36">
        <v>0</v>
      </c>
      <c r="Y117" s="31"/>
      <c r="Z117" s="37">
        <v>762</v>
      </c>
      <c r="AA117" s="31"/>
      <c r="AB117" s="40">
        <f t="shared" si="4"/>
        <v>510552</v>
      </c>
      <c r="AC117" s="31"/>
      <c r="AD117" s="38"/>
      <c r="AE117" s="31"/>
      <c r="AF117" s="39"/>
      <c r="AG117" s="39"/>
      <c r="AH117" s="39"/>
      <c r="AI117" s="39">
        <v>-142529</v>
      </c>
      <c r="AJ117" s="31"/>
      <c r="AK117" s="40">
        <f t="shared" si="5"/>
        <v>-142529</v>
      </c>
    </row>
    <row r="118" spans="1:37" s="2" customFormat="1" ht="23.25" customHeight="1">
      <c r="A118" s="51" t="s">
        <v>22</v>
      </c>
      <c r="B118" s="14" t="s">
        <v>23</v>
      </c>
      <c r="C118" s="29" t="s">
        <v>8</v>
      </c>
      <c r="D118" s="15" t="s">
        <v>411</v>
      </c>
      <c r="E118" s="46" t="s">
        <v>387</v>
      </c>
      <c r="F118" s="31">
        <v>121775.92000000179</v>
      </c>
      <c r="G118" s="31">
        <v>104204.81898645344</v>
      </c>
      <c r="H118" s="31">
        <v>-49126.498831928002</v>
      </c>
      <c r="I118" s="31">
        <v>-46667</v>
      </c>
      <c r="J118" s="31">
        <v>0</v>
      </c>
      <c r="K118" s="31"/>
      <c r="L118" s="31">
        <v>913053</v>
      </c>
      <c r="M118" s="31">
        <v>59108</v>
      </c>
      <c r="N118" s="31" t="s">
        <v>387</v>
      </c>
      <c r="O118" s="31"/>
      <c r="P118" s="31">
        <v>0</v>
      </c>
      <c r="Q118" s="31"/>
      <c r="R118" s="31">
        <v>209512</v>
      </c>
      <c r="S118" s="31">
        <v>1066487</v>
      </c>
      <c r="T118" s="31">
        <v>224236.95294038148</v>
      </c>
      <c r="U118" s="31"/>
      <c r="V118" s="31">
        <v>54612</v>
      </c>
      <c r="W118" s="31"/>
      <c r="X118" s="31">
        <v>24359</v>
      </c>
      <c r="Y118" s="31"/>
      <c r="Z118" s="31">
        <v>236922</v>
      </c>
      <c r="AA118" s="31"/>
      <c r="AB118" s="41">
        <f t="shared" si="4"/>
        <v>1560233.9200000018</v>
      </c>
      <c r="AC118" s="31"/>
      <c r="AD118" s="38"/>
      <c r="AE118" s="31"/>
      <c r="AF118" s="31"/>
      <c r="AG118" s="31"/>
      <c r="AH118" s="31"/>
      <c r="AI118" s="31">
        <v>-743307</v>
      </c>
      <c r="AJ118" s="31"/>
      <c r="AK118" s="41">
        <f t="shared" si="5"/>
        <v>-743307</v>
      </c>
    </row>
    <row r="119" spans="1:37" s="2" customFormat="1" ht="23.25" customHeight="1">
      <c r="A119" s="51" t="s">
        <v>24</v>
      </c>
      <c r="B119" s="11" t="s">
        <v>25</v>
      </c>
      <c r="C119" s="28" t="s">
        <v>8</v>
      </c>
      <c r="D119" s="11" t="s">
        <v>411</v>
      </c>
      <c r="E119" s="46" t="s">
        <v>387</v>
      </c>
      <c r="F119" s="30">
        <v>0</v>
      </c>
      <c r="G119" s="31">
        <v>0</v>
      </c>
      <c r="H119" s="31">
        <v>0</v>
      </c>
      <c r="I119" s="31">
        <v>0</v>
      </c>
      <c r="J119" s="31">
        <v>0</v>
      </c>
      <c r="K119" s="32"/>
      <c r="L119" s="36">
        <v>363913</v>
      </c>
      <c r="M119" s="31">
        <v>236432</v>
      </c>
      <c r="N119" s="31">
        <v>213668</v>
      </c>
      <c r="O119" s="31"/>
      <c r="P119" s="33">
        <v>239152</v>
      </c>
      <c r="Q119" s="31"/>
      <c r="R119" s="35">
        <v>67221</v>
      </c>
      <c r="S119" s="31">
        <v>470921</v>
      </c>
      <c r="T119" s="31">
        <v>87243.109375302636</v>
      </c>
      <c r="U119" s="31"/>
      <c r="V119" s="34">
        <v>51683</v>
      </c>
      <c r="W119" s="31"/>
      <c r="X119" s="36">
        <v>0</v>
      </c>
      <c r="Y119" s="31"/>
      <c r="Z119" s="37">
        <v>18648</v>
      </c>
      <c r="AA119" s="31"/>
      <c r="AB119" s="40">
        <f t="shared" si="4"/>
        <v>740617</v>
      </c>
      <c r="AC119" s="31"/>
      <c r="AD119" s="38"/>
      <c r="AE119" s="31"/>
      <c r="AF119" s="39"/>
      <c r="AG119" s="39"/>
      <c r="AH119" s="39"/>
      <c r="AI119" s="39">
        <v>-410171</v>
      </c>
      <c r="AJ119" s="31"/>
      <c r="AK119" s="40">
        <f t="shared" si="5"/>
        <v>-410171</v>
      </c>
    </row>
    <row r="120" spans="1:37" s="2" customFormat="1" ht="23.25" customHeight="1">
      <c r="A120" s="51" t="s">
        <v>76</v>
      </c>
      <c r="B120" s="14" t="s">
        <v>77</v>
      </c>
      <c r="C120" s="29" t="s">
        <v>59</v>
      </c>
      <c r="D120" s="15" t="s">
        <v>411</v>
      </c>
      <c r="E120" s="46" t="s">
        <v>387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/>
      <c r="L120" s="31">
        <v>28093</v>
      </c>
      <c r="M120" s="31" t="s">
        <v>387</v>
      </c>
      <c r="N120" s="31" t="s">
        <v>387</v>
      </c>
      <c r="O120" s="31"/>
      <c r="P120" s="31">
        <v>0</v>
      </c>
      <c r="Q120" s="31"/>
      <c r="R120" s="31">
        <v>18111</v>
      </c>
      <c r="S120" s="31">
        <v>124355</v>
      </c>
      <c r="T120" s="31">
        <v>6655.7970170332692</v>
      </c>
      <c r="U120" s="31"/>
      <c r="V120" s="31">
        <v>0</v>
      </c>
      <c r="W120" s="31"/>
      <c r="X120" s="31">
        <v>0</v>
      </c>
      <c r="Y120" s="31"/>
      <c r="Z120" s="31" t="s">
        <v>387</v>
      </c>
      <c r="AA120" s="31"/>
      <c r="AB120" s="41">
        <f t="shared" si="4"/>
        <v>46204</v>
      </c>
      <c r="AC120" s="31"/>
      <c r="AD120" s="38"/>
      <c r="AE120" s="31"/>
      <c r="AF120" s="31"/>
      <c r="AG120" s="31"/>
      <c r="AH120" s="31">
        <v>270000</v>
      </c>
      <c r="AI120" s="31">
        <v>-8482</v>
      </c>
      <c r="AJ120" s="31"/>
      <c r="AK120" s="41">
        <f t="shared" si="5"/>
        <v>261518</v>
      </c>
    </row>
    <row r="121" spans="1:37" s="2" customFormat="1" ht="23.25" customHeight="1">
      <c r="A121" s="51" t="s">
        <v>84</v>
      </c>
      <c r="B121" s="11" t="s">
        <v>85</v>
      </c>
      <c r="C121" s="28" t="s">
        <v>35</v>
      </c>
      <c r="D121" s="11" t="s">
        <v>411</v>
      </c>
      <c r="E121" s="46" t="s">
        <v>387</v>
      </c>
      <c r="F121" s="30">
        <v>0</v>
      </c>
      <c r="G121" s="31">
        <v>0</v>
      </c>
      <c r="H121" s="31">
        <v>0</v>
      </c>
      <c r="I121" s="31">
        <v>0</v>
      </c>
      <c r="J121" s="31">
        <v>0</v>
      </c>
      <c r="K121" s="32"/>
      <c r="L121" s="36">
        <v>9143</v>
      </c>
      <c r="M121" s="31" t="s">
        <v>387</v>
      </c>
      <c r="N121" s="31" t="s">
        <v>387</v>
      </c>
      <c r="O121" s="31"/>
      <c r="P121" s="33">
        <v>0</v>
      </c>
      <c r="Q121" s="31"/>
      <c r="R121" s="35">
        <v>16179</v>
      </c>
      <c r="S121" s="31">
        <v>45744</v>
      </c>
      <c r="T121" s="31">
        <v>5376.8482889088791</v>
      </c>
      <c r="U121" s="31"/>
      <c r="V121" s="34">
        <v>0</v>
      </c>
      <c r="W121" s="31"/>
      <c r="X121" s="36">
        <v>0</v>
      </c>
      <c r="Y121" s="31"/>
      <c r="Z121" s="37">
        <v>-1830</v>
      </c>
      <c r="AA121" s="31"/>
      <c r="AB121" s="40">
        <f t="shared" si="4"/>
        <v>23492</v>
      </c>
      <c r="AC121" s="31"/>
      <c r="AD121" s="38"/>
      <c r="AE121" s="31"/>
      <c r="AF121" s="39"/>
      <c r="AG121" s="39"/>
      <c r="AH121" s="39"/>
      <c r="AI121" s="39">
        <v>-30404</v>
      </c>
      <c r="AJ121" s="31"/>
      <c r="AK121" s="40">
        <f t="shared" si="5"/>
        <v>-30404</v>
      </c>
    </row>
    <row r="122" spans="1:37" s="2" customFormat="1" ht="23.25" customHeight="1">
      <c r="A122" s="51" t="s">
        <v>108</v>
      </c>
      <c r="B122" s="14" t="s">
        <v>109</v>
      </c>
      <c r="C122" s="29" t="s">
        <v>35</v>
      </c>
      <c r="D122" s="15" t="s">
        <v>411</v>
      </c>
      <c r="E122" s="46" t="s">
        <v>387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/>
      <c r="L122" s="31">
        <v>380338</v>
      </c>
      <c r="M122" s="31">
        <v>29554</v>
      </c>
      <c r="N122" s="31">
        <v>30524</v>
      </c>
      <c r="O122" s="31"/>
      <c r="P122" s="31">
        <v>29894</v>
      </c>
      <c r="Q122" s="31"/>
      <c r="R122" s="31">
        <v>30187</v>
      </c>
      <c r="S122" s="31">
        <v>211449</v>
      </c>
      <c r="T122" s="31">
        <v>69813.801910444992</v>
      </c>
      <c r="U122" s="31"/>
      <c r="V122" s="31">
        <v>0</v>
      </c>
      <c r="W122" s="31"/>
      <c r="X122" s="31">
        <v>0</v>
      </c>
      <c r="Y122" s="31"/>
      <c r="Z122" s="31">
        <v>7832</v>
      </c>
      <c r="AA122" s="31"/>
      <c r="AB122" s="41">
        <f t="shared" si="4"/>
        <v>448251</v>
      </c>
      <c r="AC122" s="31"/>
      <c r="AD122" s="38"/>
      <c r="AE122" s="31"/>
      <c r="AF122" s="31"/>
      <c r="AG122" s="31"/>
      <c r="AH122" s="31"/>
      <c r="AI122" s="31">
        <v>-99775</v>
      </c>
      <c r="AJ122" s="31"/>
      <c r="AK122" s="41">
        <f t="shared" si="5"/>
        <v>-99775</v>
      </c>
    </row>
    <row r="123" spans="1:37" s="2" customFormat="1" ht="23.25" customHeight="1">
      <c r="A123" s="51" t="s">
        <v>183</v>
      </c>
      <c r="B123" s="11" t="s">
        <v>184</v>
      </c>
      <c r="C123" s="28" t="s">
        <v>8</v>
      </c>
      <c r="D123" s="11" t="s">
        <v>411</v>
      </c>
      <c r="E123" s="46" t="s">
        <v>387</v>
      </c>
      <c r="F123" s="30">
        <v>-81386.259999990463</v>
      </c>
      <c r="G123" s="31">
        <v>-42129.814467132324</v>
      </c>
      <c r="H123" s="31">
        <v>0</v>
      </c>
      <c r="I123" s="31">
        <v>-40000</v>
      </c>
      <c r="J123" s="31">
        <v>0</v>
      </c>
      <c r="K123" s="32"/>
      <c r="L123" s="36">
        <v>828563</v>
      </c>
      <c r="M123" s="31">
        <v>1063944</v>
      </c>
      <c r="N123" s="31">
        <v>1312532</v>
      </c>
      <c r="O123" s="31"/>
      <c r="P123" s="33">
        <v>1345230</v>
      </c>
      <c r="Q123" s="31"/>
      <c r="R123" s="35">
        <v>290405</v>
      </c>
      <c r="S123" s="31">
        <v>1515658</v>
      </c>
      <c r="T123" s="31">
        <v>324587.82360674354</v>
      </c>
      <c r="U123" s="31"/>
      <c r="V123" s="34">
        <v>212591</v>
      </c>
      <c r="W123" s="31"/>
      <c r="X123" s="36">
        <v>73077</v>
      </c>
      <c r="Y123" s="31"/>
      <c r="Z123" s="37">
        <v>63688</v>
      </c>
      <c r="AA123" s="31"/>
      <c r="AB123" s="40">
        <f t="shared" si="4"/>
        <v>2732167.7400000095</v>
      </c>
      <c r="AC123" s="31"/>
      <c r="AD123" s="38"/>
      <c r="AE123" s="31"/>
      <c r="AF123" s="39"/>
      <c r="AG123" s="39"/>
      <c r="AH123" s="39">
        <v>500000</v>
      </c>
      <c r="AI123" s="39">
        <v>-1184091</v>
      </c>
      <c r="AJ123" s="31"/>
      <c r="AK123" s="40">
        <f t="shared" si="5"/>
        <v>-684091</v>
      </c>
    </row>
    <row r="124" spans="1:37" s="2" customFormat="1" ht="23.25" customHeight="1">
      <c r="A124" s="51" t="s">
        <v>185</v>
      </c>
      <c r="B124" s="14" t="s">
        <v>186</v>
      </c>
      <c r="C124" s="29" t="s">
        <v>8</v>
      </c>
      <c r="D124" s="15" t="s">
        <v>411</v>
      </c>
      <c r="E124" s="46" t="s">
        <v>387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/>
      <c r="L124" s="31">
        <v>227268</v>
      </c>
      <c r="M124" s="31">
        <v>384202</v>
      </c>
      <c r="N124" s="31">
        <v>427336</v>
      </c>
      <c r="O124" s="31"/>
      <c r="P124" s="31">
        <v>448410</v>
      </c>
      <c r="Q124" s="31"/>
      <c r="R124" s="31">
        <v>112615</v>
      </c>
      <c r="S124" s="31">
        <v>679842</v>
      </c>
      <c r="T124" s="31">
        <v>123826.10523518153</v>
      </c>
      <c r="U124" s="31"/>
      <c r="V124" s="31">
        <v>68614</v>
      </c>
      <c r="W124" s="31"/>
      <c r="X124" s="31">
        <v>0</v>
      </c>
      <c r="Y124" s="31"/>
      <c r="Z124" s="31">
        <v>-33704</v>
      </c>
      <c r="AA124" s="31"/>
      <c r="AB124" s="41">
        <f t="shared" si="4"/>
        <v>823203</v>
      </c>
      <c r="AC124" s="31"/>
      <c r="AD124" s="38"/>
      <c r="AE124" s="31"/>
      <c r="AF124" s="31"/>
      <c r="AG124" s="31"/>
      <c r="AH124" s="31">
        <v>100000</v>
      </c>
      <c r="AI124" s="31">
        <v>-537538</v>
      </c>
      <c r="AJ124" s="31"/>
      <c r="AK124" s="41">
        <f t="shared" si="5"/>
        <v>-437538</v>
      </c>
    </row>
    <row r="125" spans="1:37" s="2" customFormat="1" ht="23.25" customHeight="1">
      <c r="A125" s="51" t="s">
        <v>286</v>
      </c>
      <c r="B125" s="11" t="s">
        <v>287</v>
      </c>
      <c r="C125" s="28" t="s">
        <v>28</v>
      </c>
      <c r="D125" s="11" t="s">
        <v>411</v>
      </c>
      <c r="E125" s="46" t="s">
        <v>387</v>
      </c>
      <c r="F125" s="30">
        <v>0</v>
      </c>
      <c r="G125" s="31">
        <v>0</v>
      </c>
      <c r="H125" s="31">
        <v>0</v>
      </c>
      <c r="I125" s="31">
        <v>0</v>
      </c>
      <c r="J125" s="31">
        <v>0</v>
      </c>
      <c r="K125" s="32"/>
      <c r="L125" s="36">
        <v>0</v>
      </c>
      <c r="M125" s="31" t="s">
        <v>387</v>
      </c>
      <c r="N125" s="31">
        <v>0</v>
      </c>
      <c r="O125" s="31"/>
      <c r="P125" s="33">
        <v>0</v>
      </c>
      <c r="Q125" s="31"/>
      <c r="R125" s="35">
        <v>287</v>
      </c>
      <c r="S125" s="31">
        <v>4851</v>
      </c>
      <c r="T125" s="31">
        <v>0</v>
      </c>
      <c r="U125" s="31"/>
      <c r="V125" s="34">
        <v>0</v>
      </c>
      <c r="W125" s="31"/>
      <c r="X125" s="36">
        <v>0</v>
      </c>
      <c r="Y125" s="31"/>
      <c r="Z125" s="37" t="s">
        <v>387</v>
      </c>
      <c r="AA125" s="31"/>
      <c r="AB125" s="40">
        <f t="shared" si="4"/>
        <v>287</v>
      </c>
      <c r="AC125" s="31"/>
      <c r="AD125" s="38"/>
      <c r="AE125" s="31"/>
      <c r="AF125" s="39"/>
      <c r="AG125" s="39"/>
      <c r="AH125" s="39"/>
      <c r="AI125" s="39">
        <v>-5641</v>
      </c>
      <c r="AJ125" s="31"/>
      <c r="AK125" s="40">
        <f t="shared" si="5"/>
        <v>-5641</v>
      </c>
    </row>
    <row r="126" spans="1:37" s="2" customFormat="1" ht="23.25" customHeight="1">
      <c r="A126" s="51" t="s">
        <v>288</v>
      </c>
      <c r="B126" s="14" t="s">
        <v>289</v>
      </c>
      <c r="C126" s="29" t="s">
        <v>28</v>
      </c>
      <c r="D126" s="15" t="s">
        <v>411</v>
      </c>
      <c r="E126" s="46" t="s">
        <v>387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/>
      <c r="L126" s="31">
        <v>0</v>
      </c>
      <c r="M126" s="31" t="s">
        <v>387</v>
      </c>
      <c r="N126" s="31">
        <v>0</v>
      </c>
      <c r="O126" s="31"/>
      <c r="P126" s="31">
        <v>0</v>
      </c>
      <c r="Q126" s="31"/>
      <c r="R126" s="31">
        <v>443</v>
      </c>
      <c r="S126" s="31">
        <v>7488</v>
      </c>
      <c r="T126" s="31">
        <v>0</v>
      </c>
      <c r="U126" s="31"/>
      <c r="V126" s="31">
        <v>0</v>
      </c>
      <c r="W126" s="31"/>
      <c r="X126" s="31">
        <v>0</v>
      </c>
      <c r="Y126" s="31"/>
      <c r="Z126" s="31">
        <v>-20642</v>
      </c>
      <c r="AA126" s="31"/>
      <c r="AB126" s="41">
        <f t="shared" si="4"/>
        <v>-20199</v>
      </c>
      <c r="AC126" s="31"/>
      <c r="AD126" s="38"/>
      <c r="AE126" s="31"/>
      <c r="AF126" s="31"/>
      <c r="AG126" s="31"/>
      <c r="AH126" s="31"/>
      <c r="AI126" s="31">
        <v>-42821</v>
      </c>
      <c r="AJ126" s="31"/>
      <c r="AK126" s="41">
        <f t="shared" si="5"/>
        <v>-42821</v>
      </c>
    </row>
    <row r="127" spans="1:37" s="2" customFormat="1" ht="23.25" customHeight="1">
      <c r="A127" s="51" t="s">
        <v>290</v>
      </c>
      <c r="B127" s="11" t="s">
        <v>291</v>
      </c>
      <c r="C127" s="28" t="s">
        <v>28</v>
      </c>
      <c r="D127" s="11" t="s">
        <v>411</v>
      </c>
      <c r="E127" s="46" t="s">
        <v>387</v>
      </c>
      <c r="F127" s="30">
        <v>0</v>
      </c>
      <c r="G127" s="31">
        <v>0</v>
      </c>
      <c r="H127" s="31">
        <v>0</v>
      </c>
      <c r="I127" s="31">
        <v>0</v>
      </c>
      <c r="J127" s="31">
        <v>0</v>
      </c>
      <c r="K127" s="32"/>
      <c r="L127" s="36" t="s">
        <v>387</v>
      </c>
      <c r="M127" s="31" t="s">
        <v>387</v>
      </c>
      <c r="N127" s="31">
        <v>0</v>
      </c>
      <c r="O127" s="31"/>
      <c r="P127" s="33"/>
      <c r="Q127" s="31"/>
      <c r="R127" s="35" t="s">
        <v>387</v>
      </c>
      <c r="S127" s="31">
        <v>0</v>
      </c>
      <c r="T127" s="31">
        <v>0</v>
      </c>
      <c r="U127" s="31"/>
      <c r="V127" s="34" t="s">
        <v>387</v>
      </c>
      <c r="W127" s="31"/>
      <c r="X127" s="36">
        <v>0</v>
      </c>
      <c r="Y127" s="31"/>
      <c r="Z127" s="37" t="s">
        <v>387</v>
      </c>
      <c r="AA127" s="31"/>
      <c r="AB127" s="40">
        <f t="shared" si="4"/>
        <v>0</v>
      </c>
      <c r="AC127" s="31"/>
      <c r="AD127" s="38"/>
      <c r="AE127" s="31"/>
      <c r="AF127" s="39"/>
      <c r="AG127" s="39"/>
      <c r="AH127" s="39"/>
      <c r="AI127" s="39">
        <v>0</v>
      </c>
      <c r="AJ127" s="31"/>
      <c r="AK127" s="40">
        <f t="shared" si="5"/>
        <v>0</v>
      </c>
    </row>
    <row r="128" spans="1:37" s="2" customFormat="1" ht="23.25" customHeight="1">
      <c r="A128" s="51" t="s">
        <v>110</v>
      </c>
      <c r="B128" s="14" t="s">
        <v>111</v>
      </c>
      <c r="C128" s="29" t="s">
        <v>5</v>
      </c>
      <c r="D128" s="15" t="s">
        <v>412</v>
      </c>
      <c r="E128" s="46" t="s">
        <v>387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/>
      <c r="L128" s="31">
        <v>147555</v>
      </c>
      <c r="M128" s="31">
        <v>59108</v>
      </c>
      <c r="N128" s="31">
        <v>30524</v>
      </c>
      <c r="O128" s="31"/>
      <c r="P128" s="31">
        <v>29894</v>
      </c>
      <c r="Q128" s="31"/>
      <c r="R128" s="31">
        <v>38066</v>
      </c>
      <c r="S128" s="31">
        <v>173659</v>
      </c>
      <c r="T128" s="31">
        <v>35556.420686721889</v>
      </c>
      <c r="U128" s="31"/>
      <c r="V128" s="31">
        <v>32178</v>
      </c>
      <c r="W128" s="31"/>
      <c r="X128" s="31">
        <v>0</v>
      </c>
      <c r="Y128" s="31"/>
      <c r="Z128" s="31">
        <v>13420</v>
      </c>
      <c r="AA128" s="31"/>
      <c r="AB128" s="41">
        <f t="shared" si="4"/>
        <v>261113</v>
      </c>
      <c r="AC128" s="31"/>
      <c r="AD128" s="38"/>
      <c r="AE128" s="31"/>
      <c r="AF128" s="31"/>
      <c r="AG128" s="31"/>
      <c r="AH128" s="31">
        <v>150000</v>
      </c>
      <c r="AI128" s="31">
        <v>-109330</v>
      </c>
      <c r="AJ128" s="31"/>
      <c r="AK128" s="41">
        <f t="shared" si="5"/>
        <v>40670</v>
      </c>
    </row>
    <row r="129" spans="1:37" s="2" customFormat="1" ht="23.25" customHeight="1">
      <c r="A129" s="51" t="s">
        <v>120</v>
      </c>
      <c r="B129" s="11" t="s">
        <v>121</v>
      </c>
      <c r="C129" s="28" t="s">
        <v>5</v>
      </c>
      <c r="D129" s="11" t="s">
        <v>412</v>
      </c>
      <c r="E129" s="46" t="s">
        <v>387</v>
      </c>
      <c r="F129" s="30">
        <v>0</v>
      </c>
      <c r="G129" s="31">
        <v>0</v>
      </c>
      <c r="H129" s="31">
        <v>0</v>
      </c>
      <c r="I129" s="31">
        <v>0</v>
      </c>
      <c r="J129" s="31">
        <v>0</v>
      </c>
      <c r="K129" s="32"/>
      <c r="L129" s="36">
        <v>281070</v>
      </c>
      <c r="M129" s="31">
        <v>147770</v>
      </c>
      <c r="N129" s="31">
        <v>152620</v>
      </c>
      <c r="O129" s="31"/>
      <c r="P129" s="33">
        <v>149470</v>
      </c>
      <c r="Q129" s="31"/>
      <c r="R129" s="35">
        <v>88796</v>
      </c>
      <c r="S129" s="31">
        <v>419100</v>
      </c>
      <c r="T129" s="31">
        <v>89698.141796175812</v>
      </c>
      <c r="U129" s="31"/>
      <c r="V129" s="34">
        <v>94363</v>
      </c>
      <c r="W129" s="31"/>
      <c r="X129" s="36">
        <v>0</v>
      </c>
      <c r="Y129" s="31"/>
      <c r="Z129" s="37">
        <v>-8198</v>
      </c>
      <c r="AA129" s="31"/>
      <c r="AB129" s="40">
        <f t="shared" si="4"/>
        <v>605501</v>
      </c>
      <c r="AC129" s="31"/>
      <c r="AD129" s="38"/>
      <c r="AE129" s="31"/>
      <c r="AF129" s="39"/>
      <c r="AG129" s="39"/>
      <c r="AH129" s="39">
        <v>100000</v>
      </c>
      <c r="AI129" s="39">
        <v>-377032</v>
      </c>
      <c r="AJ129" s="31"/>
      <c r="AK129" s="40">
        <f t="shared" si="5"/>
        <v>-277032</v>
      </c>
    </row>
    <row r="130" spans="1:37" s="2" customFormat="1" ht="23.25" customHeight="1">
      <c r="A130" s="51" t="s">
        <v>187</v>
      </c>
      <c r="B130" s="14" t="s">
        <v>188</v>
      </c>
      <c r="C130" s="29" t="s">
        <v>5</v>
      </c>
      <c r="D130" s="15" t="s">
        <v>412</v>
      </c>
      <c r="E130" s="46" t="s">
        <v>387</v>
      </c>
      <c r="F130" s="31">
        <v>-60210.889999985695</v>
      </c>
      <c r="G130" s="31">
        <v>93134</v>
      </c>
      <c r="H130" s="31">
        <v>-56509.525749228502</v>
      </c>
      <c r="I130" s="31">
        <v>-120000</v>
      </c>
      <c r="J130" s="31">
        <v>0</v>
      </c>
      <c r="K130" s="31"/>
      <c r="L130" s="31">
        <v>734646</v>
      </c>
      <c r="M130" s="31">
        <v>206878</v>
      </c>
      <c r="N130" s="31">
        <v>335764</v>
      </c>
      <c r="O130" s="31"/>
      <c r="P130" s="31">
        <v>328834</v>
      </c>
      <c r="Q130" s="31"/>
      <c r="R130" s="31">
        <v>246954</v>
      </c>
      <c r="S130" s="31">
        <v>1251659</v>
      </c>
      <c r="T130" s="31">
        <v>236147.19251388364</v>
      </c>
      <c r="U130" s="31"/>
      <c r="V130" s="31">
        <v>80984</v>
      </c>
      <c r="W130" s="31"/>
      <c r="X130" s="31">
        <v>73077</v>
      </c>
      <c r="Y130" s="31"/>
      <c r="Z130" s="31">
        <v>255752</v>
      </c>
      <c r="AA130" s="31"/>
      <c r="AB130" s="41">
        <f t="shared" si="4"/>
        <v>1660036.1100000143</v>
      </c>
      <c r="AC130" s="31"/>
      <c r="AD130" s="38"/>
      <c r="AE130" s="31"/>
      <c r="AF130" s="31"/>
      <c r="AG130" s="31"/>
      <c r="AH130" s="31">
        <v>350000</v>
      </c>
      <c r="AI130" s="31">
        <v>-963745</v>
      </c>
      <c r="AJ130" s="31"/>
      <c r="AK130" s="41">
        <f t="shared" si="5"/>
        <v>-613745</v>
      </c>
    </row>
    <row r="131" spans="1:37" s="2" customFormat="1" ht="23.25" customHeight="1">
      <c r="A131" s="51" t="s">
        <v>112</v>
      </c>
      <c r="B131" s="11" t="s">
        <v>113</v>
      </c>
      <c r="C131" s="28" t="s">
        <v>11</v>
      </c>
      <c r="D131" s="11" t="s">
        <v>413</v>
      </c>
      <c r="E131" s="46" t="s">
        <v>387</v>
      </c>
      <c r="F131" s="30">
        <v>0</v>
      </c>
      <c r="G131" s="31">
        <v>0</v>
      </c>
      <c r="H131" s="31">
        <v>0</v>
      </c>
      <c r="I131" s="31">
        <v>0</v>
      </c>
      <c r="J131" s="31">
        <v>0</v>
      </c>
      <c r="K131" s="32"/>
      <c r="L131" s="36">
        <v>66910</v>
      </c>
      <c r="M131" s="31">
        <v>118216</v>
      </c>
      <c r="N131" s="31">
        <v>122096</v>
      </c>
      <c r="O131" s="31"/>
      <c r="P131" s="33">
        <v>119576</v>
      </c>
      <c r="Q131" s="31"/>
      <c r="R131" s="35">
        <v>19951</v>
      </c>
      <c r="S131" s="31">
        <v>119339</v>
      </c>
      <c r="T131" s="31">
        <v>23055.669878248846</v>
      </c>
      <c r="U131" s="31"/>
      <c r="V131" s="34">
        <v>16813</v>
      </c>
      <c r="W131" s="31"/>
      <c r="X131" s="36">
        <v>0</v>
      </c>
      <c r="Y131" s="31"/>
      <c r="Z131" s="37">
        <v>-4270</v>
      </c>
      <c r="AA131" s="31"/>
      <c r="AB131" s="40">
        <f t="shared" si="4"/>
        <v>218980</v>
      </c>
      <c r="AC131" s="31"/>
      <c r="AD131" s="38"/>
      <c r="AE131" s="31"/>
      <c r="AF131" s="39"/>
      <c r="AG131" s="39"/>
      <c r="AH131" s="39">
        <v>0</v>
      </c>
      <c r="AI131" s="39">
        <v>-61375</v>
      </c>
      <c r="AJ131" s="31"/>
      <c r="AK131" s="40">
        <f t="shared" si="5"/>
        <v>-61375</v>
      </c>
    </row>
    <row r="132" spans="1:37" s="2" customFormat="1" ht="23.25" customHeight="1">
      <c r="A132" s="51" t="s">
        <v>141</v>
      </c>
      <c r="B132" s="14" t="s">
        <v>142</v>
      </c>
      <c r="C132" s="29" t="s">
        <v>38</v>
      </c>
      <c r="D132" s="15" t="s">
        <v>413</v>
      </c>
      <c r="E132" s="46" t="s">
        <v>387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/>
      <c r="L132" s="31">
        <v>356435</v>
      </c>
      <c r="M132" s="31">
        <v>147770</v>
      </c>
      <c r="N132" s="31">
        <v>122096</v>
      </c>
      <c r="O132" s="31"/>
      <c r="P132" s="31">
        <v>119576</v>
      </c>
      <c r="Q132" s="31"/>
      <c r="R132" s="31">
        <v>110896</v>
      </c>
      <c r="S132" s="31">
        <v>502759</v>
      </c>
      <c r="T132" s="31">
        <v>85523.802958155939</v>
      </c>
      <c r="U132" s="31"/>
      <c r="V132" s="31">
        <v>65299</v>
      </c>
      <c r="W132" s="31"/>
      <c r="X132" s="31">
        <v>0</v>
      </c>
      <c r="Y132" s="31"/>
      <c r="Z132" s="31">
        <v>17074</v>
      </c>
      <c r="AA132" s="31"/>
      <c r="AB132" s="41">
        <f t="shared" si="4"/>
        <v>669280</v>
      </c>
      <c r="AC132" s="31"/>
      <c r="AD132" s="38"/>
      <c r="AE132" s="31"/>
      <c r="AF132" s="31"/>
      <c r="AG132" s="31"/>
      <c r="AH132" s="31">
        <v>100000</v>
      </c>
      <c r="AI132" s="31">
        <v>-470903</v>
      </c>
      <c r="AJ132" s="31"/>
      <c r="AK132" s="41">
        <f t="shared" si="5"/>
        <v>-370903</v>
      </c>
    </row>
    <row r="133" spans="1:37" s="2" customFormat="1" ht="23.25" customHeight="1">
      <c r="A133" s="51" t="s">
        <v>193</v>
      </c>
      <c r="B133" s="11" t="s">
        <v>194</v>
      </c>
      <c r="C133" s="28" t="s">
        <v>195</v>
      </c>
      <c r="D133" s="11" t="s">
        <v>413</v>
      </c>
      <c r="E133" s="46" t="s">
        <v>387</v>
      </c>
      <c r="F133" s="30">
        <v>-231816.87999999523</v>
      </c>
      <c r="G133" s="31">
        <v>-33830.840817224642</v>
      </c>
      <c r="H133" s="31">
        <v>1564.4600594019939</v>
      </c>
      <c r="I133" s="31">
        <v>-166667</v>
      </c>
      <c r="J133" s="31">
        <v>0</v>
      </c>
      <c r="K133" s="32"/>
      <c r="L133" s="36">
        <v>1671152</v>
      </c>
      <c r="M133" s="31">
        <v>88662</v>
      </c>
      <c r="N133" s="31" t="s">
        <v>387</v>
      </c>
      <c r="O133" s="31"/>
      <c r="P133" s="33">
        <v>59788</v>
      </c>
      <c r="Q133" s="31"/>
      <c r="R133" s="35">
        <v>489569</v>
      </c>
      <c r="S133" s="31">
        <v>2382843</v>
      </c>
      <c r="T133" s="31">
        <v>468272.81640465755</v>
      </c>
      <c r="U133" s="31"/>
      <c r="V133" s="34">
        <v>408115</v>
      </c>
      <c r="W133" s="31"/>
      <c r="X133" s="36">
        <v>48718</v>
      </c>
      <c r="Y133" s="31"/>
      <c r="Z133" s="37">
        <v>361056</v>
      </c>
      <c r="AA133" s="31"/>
      <c r="AB133" s="40">
        <f t="shared" si="4"/>
        <v>2806581.1200000048</v>
      </c>
      <c r="AC133" s="31"/>
      <c r="AD133" s="38"/>
      <c r="AE133" s="31"/>
      <c r="AF133" s="39"/>
      <c r="AG133" s="39"/>
      <c r="AH133" s="39">
        <v>400000</v>
      </c>
      <c r="AI133" s="39">
        <v>-2105275</v>
      </c>
      <c r="AJ133" s="31"/>
      <c r="AK133" s="40">
        <f t="shared" si="5"/>
        <v>-1705275</v>
      </c>
    </row>
    <row r="134" spans="1:37" s="2" customFormat="1" ht="23.25" customHeight="1">
      <c r="A134" s="51" t="s">
        <v>292</v>
      </c>
      <c r="B134" s="14" t="s">
        <v>293</v>
      </c>
      <c r="C134" s="29" t="s">
        <v>28</v>
      </c>
      <c r="D134" s="15" t="s">
        <v>413</v>
      </c>
      <c r="E134" s="46" t="s">
        <v>387</v>
      </c>
      <c r="F134" s="31">
        <v>-37000</v>
      </c>
      <c r="G134" s="31">
        <v>0</v>
      </c>
      <c r="H134" s="31">
        <v>0</v>
      </c>
      <c r="I134" s="31">
        <v>0</v>
      </c>
      <c r="J134" s="31">
        <v>0</v>
      </c>
      <c r="K134" s="31"/>
      <c r="L134" s="31">
        <v>0</v>
      </c>
      <c r="M134" s="31" t="s">
        <v>387</v>
      </c>
      <c r="N134" s="31" t="s">
        <v>387</v>
      </c>
      <c r="O134" s="31"/>
      <c r="P134" s="31">
        <v>0</v>
      </c>
      <c r="Q134" s="31"/>
      <c r="R134" s="31">
        <v>519</v>
      </c>
      <c r="S134" s="31">
        <v>8772</v>
      </c>
      <c r="T134" s="31">
        <v>0</v>
      </c>
      <c r="U134" s="31"/>
      <c r="V134" s="31">
        <v>0</v>
      </c>
      <c r="W134" s="31"/>
      <c r="X134" s="31">
        <v>0</v>
      </c>
      <c r="Y134" s="31"/>
      <c r="Z134" s="31" t="s">
        <v>387</v>
      </c>
      <c r="AA134" s="31"/>
      <c r="AB134" s="41">
        <f t="shared" si="4"/>
        <v>-36481</v>
      </c>
      <c r="AC134" s="31"/>
      <c r="AD134" s="38"/>
      <c r="AE134" s="31"/>
      <c r="AF134" s="31"/>
      <c r="AG134" s="31"/>
      <c r="AH134" s="31"/>
      <c r="AI134" s="31">
        <v>-13544</v>
      </c>
      <c r="AJ134" s="31"/>
      <c r="AK134" s="41">
        <f t="shared" si="5"/>
        <v>-13544</v>
      </c>
    </row>
    <row r="135" spans="1:37" s="2" customFormat="1" ht="23.25" customHeight="1">
      <c r="A135" s="51" t="s">
        <v>68</v>
      </c>
      <c r="B135" s="11" t="s">
        <v>69</v>
      </c>
      <c r="C135" s="28" t="s">
        <v>5</v>
      </c>
      <c r="D135" s="11" t="s">
        <v>414</v>
      </c>
      <c r="E135" s="46" t="s">
        <v>387</v>
      </c>
      <c r="F135" s="30">
        <v>0</v>
      </c>
      <c r="G135" s="31">
        <v>0</v>
      </c>
      <c r="H135" s="31">
        <v>0</v>
      </c>
      <c r="I135" s="31">
        <v>0</v>
      </c>
      <c r="J135" s="31">
        <v>0</v>
      </c>
      <c r="K135" s="32"/>
      <c r="L135" s="36">
        <v>56790</v>
      </c>
      <c r="M135" s="31">
        <v>29554</v>
      </c>
      <c r="N135" s="31">
        <v>30524</v>
      </c>
      <c r="O135" s="31"/>
      <c r="P135" s="33">
        <v>29894</v>
      </c>
      <c r="Q135" s="31"/>
      <c r="R135" s="35">
        <v>21443</v>
      </c>
      <c r="S135" s="31">
        <v>91995</v>
      </c>
      <c r="T135" s="31">
        <v>14315.335031830647</v>
      </c>
      <c r="U135" s="31"/>
      <c r="V135" s="34">
        <v>7371</v>
      </c>
      <c r="W135" s="31"/>
      <c r="X135" s="36">
        <v>0</v>
      </c>
      <c r="Y135" s="31"/>
      <c r="Z135" s="37">
        <v>29890</v>
      </c>
      <c r="AA135" s="31"/>
      <c r="AB135" s="40">
        <f t="shared" si="4"/>
        <v>145388</v>
      </c>
      <c r="AC135" s="31"/>
      <c r="AD135" s="38"/>
      <c r="AE135" s="31"/>
      <c r="AF135" s="39"/>
      <c r="AG135" s="39"/>
      <c r="AH135" s="39">
        <v>50000</v>
      </c>
      <c r="AI135" s="39">
        <v>-67527</v>
      </c>
      <c r="AJ135" s="31"/>
      <c r="AK135" s="40">
        <f t="shared" ref="AK135:AK191" si="6">SUM(AF135:AI135)</f>
        <v>-17527</v>
      </c>
    </row>
    <row r="136" spans="1:37" s="2" customFormat="1" ht="23.25" customHeight="1">
      <c r="A136" s="51" t="s">
        <v>103</v>
      </c>
      <c r="B136" s="14" t="s">
        <v>104</v>
      </c>
      <c r="C136" s="29" t="s">
        <v>8</v>
      </c>
      <c r="D136" s="15" t="s">
        <v>414</v>
      </c>
      <c r="E136" s="46" t="s">
        <v>387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/>
      <c r="L136" s="31">
        <v>459253</v>
      </c>
      <c r="M136" s="31">
        <v>59108</v>
      </c>
      <c r="N136" s="31" t="s">
        <v>387</v>
      </c>
      <c r="O136" s="31"/>
      <c r="P136" s="31">
        <v>0</v>
      </c>
      <c r="Q136" s="31"/>
      <c r="R136" s="31">
        <v>67807</v>
      </c>
      <c r="S136" s="31">
        <v>404683</v>
      </c>
      <c r="T136" s="31">
        <v>90389.886250674317</v>
      </c>
      <c r="U136" s="31"/>
      <c r="V136" s="31">
        <v>20246</v>
      </c>
      <c r="W136" s="31"/>
      <c r="X136" s="31">
        <v>0</v>
      </c>
      <c r="Y136" s="31"/>
      <c r="Z136" s="31">
        <v>-3818</v>
      </c>
      <c r="AA136" s="31"/>
      <c r="AB136" s="41">
        <f t="shared" si="4"/>
        <v>543488</v>
      </c>
      <c r="AC136" s="31"/>
      <c r="AD136" s="38"/>
      <c r="AE136" s="31"/>
      <c r="AF136" s="31"/>
      <c r="AG136" s="31"/>
      <c r="AH136" s="31">
        <v>75000</v>
      </c>
      <c r="AI136" s="31">
        <v>-240585</v>
      </c>
      <c r="AJ136" s="31"/>
      <c r="AK136" s="41">
        <f t="shared" si="6"/>
        <v>-165585</v>
      </c>
    </row>
    <row r="137" spans="1:37" s="2" customFormat="1" ht="23.25" customHeight="1">
      <c r="A137" s="51" t="s">
        <v>114</v>
      </c>
      <c r="B137" s="11" t="s">
        <v>115</v>
      </c>
      <c r="C137" s="28" t="s">
        <v>48</v>
      </c>
      <c r="D137" s="11" t="s">
        <v>414</v>
      </c>
      <c r="E137" s="46" t="s">
        <v>387</v>
      </c>
      <c r="F137" s="30">
        <v>0</v>
      </c>
      <c r="G137" s="31">
        <v>0</v>
      </c>
      <c r="H137" s="31">
        <v>0</v>
      </c>
      <c r="I137" s="31">
        <v>0</v>
      </c>
      <c r="J137" s="31">
        <v>0</v>
      </c>
      <c r="K137" s="32"/>
      <c r="L137" s="36">
        <v>186351</v>
      </c>
      <c r="M137" s="31">
        <v>59108</v>
      </c>
      <c r="N137" s="31">
        <v>30524</v>
      </c>
      <c r="O137" s="31"/>
      <c r="P137" s="33">
        <v>29894</v>
      </c>
      <c r="Q137" s="31"/>
      <c r="R137" s="35">
        <v>42651</v>
      </c>
      <c r="S137" s="31">
        <v>280805</v>
      </c>
      <c r="T137" s="31">
        <v>61737.976967853239</v>
      </c>
      <c r="U137" s="31"/>
      <c r="V137" s="34">
        <v>6749</v>
      </c>
      <c r="W137" s="31"/>
      <c r="X137" s="36">
        <v>0</v>
      </c>
      <c r="Y137" s="31"/>
      <c r="Z137" s="37">
        <v>-17690</v>
      </c>
      <c r="AA137" s="31"/>
      <c r="AB137" s="40">
        <f t="shared" si="4"/>
        <v>247955</v>
      </c>
      <c r="AC137" s="31"/>
      <c r="AD137" s="38"/>
      <c r="AE137" s="31"/>
      <c r="AF137" s="39"/>
      <c r="AG137" s="39"/>
      <c r="AH137" s="39">
        <v>280000</v>
      </c>
      <c r="AI137" s="39">
        <v>-155261</v>
      </c>
      <c r="AJ137" s="31"/>
      <c r="AK137" s="40">
        <f t="shared" si="6"/>
        <v>124739</v>
      </c>
    </row>
    <row r="138" spans="1:37" s="2" customFormat="1" ht="23.25" customHeight="1">
      <c r="A138" s="51" t="s">
        <v>198</v>
      </c>
      <c r="B138" s="14" t="s">
        <v>199</v>
      </c>
      <c r="C138" s="29" t="s">
        <v>38</v>
      </c>
      <c r="D138" s="15" t="s">
        <v>414</v>
      </c>
      <c r="E138" s="46" t="s">
        <v>387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/>
      <c r="L138" s="31">
        <v>60042</v>
      </c>
      <c r="M138" s="31">
        <v>354648</v>
      </c>
      <c r="N138" s="31">
        <v>335764</v>
      </c>
      <c r="O138" s="31"/>
      <c r="P138" s="31">
        <v>328834</v>
      </c>
      <c r="Q138" s="31"/>
      <c r="R138" s="31">
        <v>111730</v>
      </c>
      <c r="S138" s="31">
        <v>572881</v>
      </c>
      <c r="T138" s="31">
        <v>104375.25457719561</v>
      </c>
      <c r="U138" s="31"/>
      <c r="V138" s="31">
        <v>40374</v>
      </c>
      <c r="W138" s="31"/>
      <c r="X138" s="31">
        <v>0</v>
      </c>
      <c r="Y138" s="31"/>
      <c r="Z138" s="31">
        <v>-32016</v>
      </c>
      <c r="AA138" s="31"/>
      <c r="AB138" s="41">
        <f t="shared" ref="AB138:AB193" si="7">SUM(Z138,X138,V138,R138,P138,L138,F138)</f>
        <v>508964</v>
      </c>
      <c r="AC138" s="31"/>
      <c r="AD138" s="38"/>
      <c r="AE138" s="31"/>
      <c r="AF138" s="31"/>
      <c r="AG138" s="31"/>
      <c r="AH138" s="31">
        <v>0</v>
      </c>
      <c r="AI138" s="31">
        <v>-582444</v>
      </c>
      <c r="AJ138" s="31"/>
      <c r="AK138" s="41">
        <f t="shared" si="6"/>
        <v>-582444</v>
      </c>
    </row>
    <row r="139" spans="1:37" s="2" customFormat="1" ht="23.25" customHeight="1">
      <c r="A139" s="51" t="s">
        <v>200</v>
      </c>
      <c r="B139" s="11" t="s">
        <v>201</v>
      </c>
      <c r="C139" s="28" t="s">
        <v>5</v>
      </c>
      <c r="D139" s="11" t="s">
        <v>414</v>
      </c>
      <c r="E139" s="46" t="s">
        <v>387</v>
      </c>
      <c r="F139" s="30">
        <v>18163.620000004768</v>
      </c>
      <c r="G139" s="31">
        <v>0</v>
      </c>
      <c r="H139" s="31">
        <v>-43392.107799999998</v>
      </c>
      <c r="I139" s="31">
        <v>0</v>
      </c>
      <c r="J139" s="31">
        <v>0</v>
      </c>
      <c r="K139" s="32"/>
      <c r="L139" s="36">
        <v>412290</v>
      </c>
      <c r="M139" s="31">
        <v>118216</v>
      </c>
      <c r="N139" s="31">
        <v>91572</v>
      </c>
      <c r="O139" s="31"/>
      <c r="P139" s="33">
        <v>89682</v>
      </c>
      <c r="Q139" s="31"/>
      <c r="R139" s="35">
        <v>233428</v>
      </c>
      <c r="S139" s="31">
        <v>1077936</v>
      </c>
      <c r="T139" s="31">
        <v>236215.09615258506</v>
      </c>
      <c r="U139" s="31"/>
      <c r="V139" s="34">
        <v>105555</v>
      </c>
      <c r="W139" s="31"/>
      <c r="X139" s="36">
        <v>0</v>
      </c>
      <c r="Y139" s="31"/>
      <c r="Z139" s="37">
        <v>465304</v>
      </c>
      <c r="AA139" s="31"/>
      <c r="AB139" s="40">
        <f t="shared" si="7"/>
        <v>1324422.6200000048</v>
      </c>
      <c r="AC139" s="31"/>
      <c r="AD139" s="38"/>
      <c r="AE139" s="31"/>
      <c r="AF139" s="39"/>
      <c r="AG139" s="39"/>
      <c r="AH139" s="39">
        <v>200000</v>
      </c>
      <c r="AI139" s="39">
        <v>-847479</v>
      </c>
      <c r="AJ139" s="31"/>
      <c r="AK139" s="40">
        <f t="shared" si="6"/>
        <v>-647479</v>
      </c>
    </row>
    <row r="140" spans="1:37" s="2" customFormat="1" ht="23.25" customHeight="1">
      <c r="A140" s="51" t="s">
        <v>202</v>
      </c>
      <c r="B140" s="14" t="s">
        <v>203</v>
      </c>
      <c r="C140" s="29" t="s">
        <v>8</v>
      </c>
      <c r="D140" s="15" t="s">
        <v>414</v>
      </c>
      <c r="E140" s="46" t="s">
        <v>387</v>
      </c>
      <c r="F140" s="31">
        <v>-298370.07999998331</v>
      </c>
      <c r="G140" s="31">
        <v>-33748.778629910586</v>
      </c>
      <c r="H140" s="31">
        <v>104431.64049447</v>
      </c>
      <c r="I140" s="31">
        <v>-226667</v>
      </c>
      <c r="J140" s="31">
        <v>0</v>
      </c>
      <c r="K140" s="31"/>
      <c r="L140" s="31">
        <v>1499260</v>
      </c>
      <c r="M140" s="31">
        <v>206878</v>
      </c>
      <c r="N140" s="31" t="s">
        <v>387</v>
      </c>
      <c r="O140" s="31"/>
      <c r="P140" s="31">
        <v>89682</v>
      </c>
      <c r="Q140" s="31"/>
      <c r="R140" s="31">
        <v>459768</v>
      </c>
      <c r="S140" s="31">
        <v>2128244</v>
      </c>
      <c r="T140" s="31">
        <v>423714.47736904299</v>
      </c>
      <c r="U140" s="31"/>
      <c r="V140" s="31">
        <v>214274</v>
      </c>
      <c r="W140" s="31"/>
      <c r="X140" s="31">
        <v>48718</v>
      </c>
      <c r="Y140" s="31"/>
      <c r="Z140" s="31">
        <v>-3854</v>
      </c>
      <c r="AA140" s="31"/>
      <c r="AB140" s="41">
        <f t="shared" si="7"/>
        <v>2009477.9200000167</v>
      </c>
      <c r="AC140" s="31"/>
      <c r="AD140" s="38"/>
      <c r="AE140" s="31"/>
      <c r="AF140" s="31"/>
      <c r="AG140" s="31"/>
      <c r="AH140" s="31">
        <v>500000</v>
      </c>
      <c r="AI140" s="31">
        <v>-1633252</v>
      </c>
      <c r="AJ140" s="31"/>
      <c r="AK140" s="41">
        <f t="shared" si="6"/>
        <v>-1133252</v>
      </c>
    </row>
    <row r="141" spans="1:37" s="2" customFormat="1" ht="23.25" customHeight="1">
      <c r="A141" s="51" t="s">
        <v>294</v>
      </c>
      <c r="B141" s="11" t="s">
        <v>295</v>
      </c>
      <c r="C141" s="28" t="s">
        <v>28</v>
      </c>
      <c r="D141" s="11" t="s">
        <v>414</v>
      </c>
      <c r="E141" s="46" t="s">
        <v>387</v>
      </c>
      <c r="F141" s="30">
        <v>0</v>
      </c>
      <c r="G141" s="31">
        <v>0</v>
      </c>
      <c r="H141" s="31">
        <v>0</v>
      </c>
      <c r="I141" s="31">
        <v>0</v>
      </c>
      <c r="J141" s="31">
        <v>0</v>
      </c>
      <c r="K141" s="32"/>
      <c r="L141" s="36">
        <v>0</v>
      </c>
      <c r="M141" s="31" t="s">
        <v>387</v>
      </c>
      <c r="N141" s="31">
        <v>0</v>
      </c>
      <c r="O141" s="31"/>
      <c r="P141" s="33">
        <v>0</v>
      </c>
      <c r="Q141" s="31"/>
      <c r="R141" s="35">
        <v>1007</v>
      </c>
      <c r="S141" s="31">
        <v>17031</v>
      </c>
      <c r="T141" s="31">
        <v>0</v>
      </c>
      <c r="U141" s="31"/>
      <c r="V141" s="34">
        <v>0</v>
      </c>
      <c r="W141" s="31"/>
      <c r="X141" s="36">
        <v>0</v>
      </c>
      <c r="Y141" s="31"/>
      <c r="Z141" s="37">
        <v>-23074</v>
      </c>
      <c r="AA141" s="31"/>
      <c r="AB141" s="40">
        <f t="shared" si="7"/>
        <v>-22067</v>
      </c>
      <c r="AC141" s="31"/>
      <c r="AD141" s="38"/>
      <c r="AE141" s="31"/>
      <c r="AF141" s="39"/>
      <c r="AG141" s="39"/>
      <c r="AH141" s="39"/>
      <c r="AI141" s="39">
        <v>-132169</v>
      </c>
      <c r="AJ141" s="31"/>
      <c r="AK141" s="40">
        <f t="shared" si="6"/>
        <v>-132169</v>
      </c>
    </row>
    <row r="142" spans="1:37" s="2" customFormat="1" ht="23.25" customHeight="1">
      <c r="A142" s="51" t="s">
        <v>296</v>
      </c>
      <c r="B142" s="14" t="s">
        <v>297</v>
      </c>
      <c r="C142" s="29" t="s">
        <v>28</v>
      </c>
      <c r="D142" s="15" t="s">
        <v>414</v>
      </c>
      <c r="E142" s="46" t="s">
        <v>387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1"/>
      <c r="L142" s="31">
        <v>0</v>
      </c>
      <c r="M142" s="31" t="s">
        <v>387</v>
      </c>
      <c r="N142" s="31">
        <v>0</v>
      </c>
      <c r="O142" s="31"/>
      <c r="P142" s="31">
        <v>0</v>
      </c>
      <c r="Q142" s="31"/>
      <c r="R142" s="31">
        <v>469</v>
      </c>
      <c r="S142" s="31">
        <v>7923</v>
      </c>
      <c r="T142" s="31">
        <v>0</v>
      </c>
      <c r="U142" s="31"/>
      <c r="V142" s="31">
        <v>0</v>
      </c>
      <c r="W142" s="31"/>
      <c r="X142" s="31">
        <v>0</v>
      </c>
      <c r="Y142" s="31"/>
      <c r="Z142" s="31" t="s">
        <v>387</v>
      </c>
      <c r="AA142" s="31"/>
      <c r="AB142" s="41">
        <f t="shared" si="7"/>
        <v>469</v>
      </c>
      <c r="AC142" s="31"/>
      <c r="AD142" s="38"/>
      <c r="AE142" s="31"/>
      <c r="AF142" s="31"/>
      <c r="AG142" s="31"/>
      <c r="AH142" s="31"/>
      <c r="AI142" s="31">
        <v>-8422</v>
      </c>
      <c r="AJ142" s="31"/>
      <c r="AK142" s="41">
        <f t="shared" si="6"/>
        <v>-8422</v>
      </c>
    </row>
    <row r="143" spans="1:37" s="2" customFormat="1" ht="23.25" customHeight="1">
      <c r="A143" s="51" t="s">
        <v>298</v>
      </c>
      <c r="B143" s="11" t="s">
        <v>299</v>
      </c>
      <c r="C143" s="28" t="s">
        <v>28</v>
      </c>
      <c r="D143" s="11" t="s">
        <v>414</v>
      </c>
      <c r="E143" s="46" t="s">
        <v>387</v>
      </c>
      <c r="F143" s="30">
        <v>0</v>
      </c>
      <c r="G143" s="31">
        <v>0</v>
      </c>
      <c r="H143" s="31">
        <v>0</v>
      </c>
      <c r="I143" s="31">
        <v>0</v>
      </c>
      <c r="J143" s="31">
        <v>0</v>
      </c>
      <c r="K143" s="32"/>
      <c r="L143" s="36" t="s">
        <v>387</v>
      </c>
      <c r="M143" s="31" t="s">
        <v>387</v>
      </c>
      <c r="N143" s="31">
        <v>0</v>
      </c>
      <c r="O143" s="31"/>
      <c r="P143" s="33"/>
      <c r="Q143" s="31"/>
      <c r="R143" s="35" t="s">
        <v>387</v>
      </c>
      <c r="S143" s="31">
        <v>0</v>
      </c>
      <c r="T143" s="31">
        <v>0</v>
      </c>
      <c r="U143" s="31"/>
      <c r="V143" s="34" t="s">
        <v>387</v>
      </c>
      <c r="W143" s="31"/>
      <c r="X143" s="36">
        <v>0</v>
      </c>
      <c r="Y143" s="31"/>
      <c r="Z143" s="37" t="s">
        <v>387</v>
      </c>
      <c r="AA143" s="31"/>
      <c r="AB143" s="40">
        <f t="shared" si="7"/>
        <v>0</v>
      </c>
      <c r="AC143" s="31"/>
      <c r="AD143" s="38"/>
      <c r="AE143" s="31"/>
      <c r="AF143" s="39"/>
      <c r="AG143" s="39"/>
      <c r="AH143" s="39"/>
      <c r="AI143" s="39">
        <v>-4572</v>
      </c>
      <c r="AJ143" s="31"/>
      <c r="AK143" s="40">
        <f t="shared" si="6"/>
        <v>-4572</v>
      </c>
    </row>
    <row r="144" spans="1:37" s="2" customFormat="1" ht="23.25" customHeight="1">
      <c r="A144" s="51" t="s">
        <v>300</v>
      </c>
      <c r="B144" s="14" t="s">
        <v>301</v>
      </c>
      <c r="C144" s="29" t="s">
        <v>28</v>
      </c>
      <c r="D144" s="15" t="s">
        <v>451</v>
      </c>
      <c r="E144" s="46" t="s">
        <v>387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/>
      <c r="L144" s="31">
        <v>0</v>
      </c>
      <c r="M144" s="31" t="s">
        <v>387</v>
      </c>
      <c r="N144" s="31" t="s">
        <v>387</v>
      </c>
      <c r="O144" s="31"/>
      <c r="P144" s="31"/>
      <c r="Q144" s="31"/>
      <c r="R144" s="31">
        <v>5247</v>
      </c>
      <c r="S144" s="31">
        <v>32869</v>
      </c>
      <c r="T144" s="31">
        <v>788.27757417701935</v>
      </c>
      <c r="U144" s="31"/>
      <c r="V144" s="31">
        <v>0</v>
      </c>
      <c r="W144" s="31"/>
      <c r="X144" s="31">
        <v>0</v>
      </c>
      <c r="Y144" s="31"/>
      <c r="Z144" s="31" t="s">
        <v>387</v>
      </c>
      <c r="AA144" s="31"/>
      <c r="AB144" s="41">
        <f t="shared" si="7"/>
        <v>5247</v>
      </c>
      <c r="AC144" s="31"/>
      <c r="AD144" s="38"/>
      <c r="AE144" s="31"/>
      <c r="AF144" s="31"/>
      <c r="AG144" s="31"/>
      <c r="AH144" s="31"/>
      <c r="AI144" s="31">
        <v>-10712</v>
      </c>
      <c r="AJ144" s="31"/>
      <c r="AK144" s="41">
        <f t="shared" si="6"/>
        <v>-10712</v>
      </c>
    </row>
    <row r="145" spans="1:37" s="2" customFormat="1" ht="23.25" customHeight="1">
      <c r="A145" s="51" t="s">
        <v>302</v>
      </c>
      <c r="B145" s="11" t="s">
        <v>303</v>
      </c>
      <c r="C145" s="28" t="s">
        <v>28</v>
      </c>
      <c r="D145" s="11" t="s">
        <v>451</v>
      </c>
      <c r="E145" s="46" t="s">
        <v>387</v>
      </c>
      <c r="F145" s="30">
        <v>0</v>
      </c>
      <c r="G145" s="31">
        <v>0</v>
      </c>
      <c r="H145" s="31">
        <v>0</v>
      </c>
      <c r="I145" s="31">
        <v>0</v>
      </c>
      <c r="J145" s="31">
        <v>0</v>
      </c>
      <c r="K145" s="32"/>
      <c r="L145" s="36">
        <v>0</v>
      </c>
      <c r="M145" s="31" t="s">
        <v>387</v>
      </c>
      <c r="N145" s="31" t="s">
        <v>387</v>
      </c>
      <c r="O145" s="31"/>
      <c r="P145" s="33"/>
      <c r="Q145" s="31"/>
      <c r="R145" s="35">
        <v>3445</v>
      </c>
      <c r="S145" s="31">
        <v>18101</v>
      </c>
      <c r="T145" s="31">
        <v>1576</v>
      </c>
      <c r="U145" s="31"/>
      <c r="V145" s="34">
        <v>0</v>
      </c>
      <c r="W145" s="31"/>
      <c r="X145" s="36">
        <v>0</v>
      </c>
      <c r="Y145" s="31"/>
      <c r="Z145" s="37" t="s">
        <v>387</v>
      </c>
      <c r="AA145" s="31"/>
      <c r="AB145" s="40">
        <f t="shared" si="7"/>
        <v>3445</v>
      </c>
      <c r="AC145" s="31"/>
      <c r="AD145" s="38"/>
      <c r="AE145" s="31"/>
      <c r="AF145" s="39"/>
      <c r="AG145" s="39"/>
      <c r="AH145" s="39"/>
      <c r="AI145" s="39">
        <v>-13191</v>
      </c>
      <c r="AJ145" s="31"/>
      <c r="AK145" s="40">
        <f t="shared" si="6"/>
        <v>-13191</v>
      </c>
    </row>
    <row r="146" spans="1:37" s="2" customFormat="1" ht="23.25" customHeight="1">
      <c r="A146" s="51" t="s">
        <v>304</v>
      </c>
      <c r="B146" s="14" t="s">
        <v>305</v>
      </c>
      <c r="C146" s="29" t="s">
        <v>28</v>
      </c>
      <c r="D146" s="15" t="s">
        <v>451</v>
      </c>
      <c r="E146" s="46" t="s">
        <v>387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1"/>
      <c r="L146" s="31">
        <v>0</v>
      </c>
      <c r="M146" s="31" t="s">
        <v>387</v>
      </c>
      <c r="N146" s="31" t="s">
        <v>387</v>
      </c>
      <c r="O146" s="31"/>
      <c r="P146" s="31"/>
      <c r="Q146" s="31"/>
      <c r="R146" s="31">
        <v>4268</v>
      </c>
      <c r="S146" s="31">
        <v>25935</v>
      </c>
      <c r="T146" s="31">
        <v>394.13878708850967</v>
      </c>
      <c r="U146" s="31"/>
      <c r="V146" s="31">
        <v>0</v>
      </c>
      <c r="W146" s="31"/>
      <c r="X146" s="31">
        <v>0</v>
      </c>
      <c r="Y146" s="31"/>
      <c r="Z146" s="31" t="s">
        <v>387</v>
      </c>
      <c r="AA146" s="31"/>
      <c r="AB146" s="41">
        <f t="shared" si="7"/>
        <v>4268</v>
      </c>
      <c r="AC146" s="31"/>
      <c r="AD146" s="38"/>
      <c r="AE146" s="31"/>
      <c r="AF146" s="31"/>
      <c r="AG146" s="31"/>
      <c r="AH146" s="31"/>
      <c r="AI146" s="31">
        <v>-13795</v>
      </c>
      <c r="AJ146" s="31"/>
      <c r="AK146" s="41">
        <f t="shared" si="6"/>
        <v>-13795</v>
      </c>
    </row>
    <row r="147" spans="1:37" s="2" customFormat="1" ht="23.25" customHeight="1">
      <c r="A147" s="51" t="s">
        <v>306</v>
      </c>
      <c r="B147" s="11" t="s">
        <v>307</v>
      </c>
      <c r="C147" s="28" t="s">
        <v>28</v>
      </c>
      <c r="D147" s="11" t="s">
        <v>451</v>
      </c>
      <c r="E147" s="46" t="s">
        <v>387</v>
      </c>
      <c r="F147" s="30">
        <v>0</v>
      </c>
      <c r="G147" s="31">
        <v>0</v>
      </c>
      <c r="H147" s="31">
        <v>0</v>
      </c>
      <c r="I147" s="31">
        <v>0</v>
      </c>
      <c r="J147" s="31">
        <v>0</v>
      </c>
      <c r="K147" s="32"/>
      <c r="L147" s="36">
        <v>0</v>
      </c>
      <c r="M147" s="31" t="s">
        <v>387</v>
      </c>
      <c r="N147" s="31" t="s">
        <v>387</v>
      </c>
      <c r="O147" s="31"/>
      <c r="P147" s="33"/>
      <c r="Q147" s="31"/>
      <c r="R147" s="35">
        <v>14752</v>
      </c>
      <c r="S147" s="31">
        <v>46505</v>
      </c>
      <c r="T147" s="31">
        <v>2905.3595176180188</v>
      </c>
      <c r="U147" s="31"/>
      <c r="V147" s="34">
        <v>0</v>
      </c>
      <c r="W147" s="31"/>
      <c r="X147" s="36">
        <v>0</v>
      </c>
      <c r="Y147" s="31"/>
      <c r="Z147" s="37" t="s">
        <v>387</v>
      </c>
      <c r="AA147" s="31"/>
      <c r="AB147" s="40">
        <f t="shared" si="7"/>
        <v>14752</v>
      </c>
      <c r="AC147" s="31"/>
      <c r="AD147" s="38"/>
      <c r="AE147" s="31"/>
      <c r="AF147" s="39"/>
      <c r="AG147" s="39"/>
      <c r="AH147" s="39"/>
      <c r="AI147" s="39">
        <v>-6428</v>
      </c>
      <c r="AJ147" s="31"/>
      <c r="AK147" s="40">
        <f t="shared" si="6"/>
        <v>-6428</v>
      </c>
    </row>
    <row r="148" spans="1:37" s="2" customFormat="1" ht="23.25" customHeight="1">
      <c r="A148" s="51" t="s">
        <v>308</v>
      </c>
      <c r="B148" s="14" t="s">
        <v>309</v>
      </c>
      <c r="C148" s="29" t="s">
        <v>28</v>
      </c>
      <c r="D148" s="15" t="s">
        <v>451</v>
      </c>
      <c r="E148" s="46" t="s">
        <v>387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1"/>
      <c r="L148" s="31">
        <v>0</v>
      </c>
      <c r="M148" s="31" t="s">
        <v>387</v>
      </c>
      <c r="N148" s="31" t="s">
        <v>387</v>
      </c>
      <c r="O148" s="31"/>
      <c r="P148" s="31"/>
      <c r="Q148" s="31"/>
      <c r="R148" s="31">
        <v>3475</v>
      </c>
      <c r="S148" s="31">
        <v>23499</v>
      </c>
      <c r="T148" s="31">
        <v>745.06982940972591</v>
      </c>
      <c r="U148" s="31"/>
      <c r="V148" s="31">
        <v>0</v>
      </c>
      <c r="W148" s="31"/>
      <c r="X148" s="31">
        <v>0</v>
      </c>
      <c r="Y148" s="31"/>
      <c r="Z148" s="31" t="s">
        <v>387</v>
      </c>
      <c r="AA148" s="31"/>
      <c r="AB148" s="41">
        <f t="shared" si="7"/>
        <v>3475</v>
      </c>
      <c r="AC148" s="31"/>
      <c r="AD148" s="38"/>
      <c r="AE148" s="31"/>
      <c r="AF148" s="31"/>
      <c r="AG148" s="31"/>
      <c r="AH148" s="31"/>
      <c r="AI148" s="31">
        <v>-10441</v>
      </c>
      <c r="AJ148" s="31"/>
      <c r="AK148" s="41">
        <f t="shared" si="6"/>
        <v>-10441</v>
      </c>
    </row>
    <row r="149" spans="1:37" s="2" customFormat="1" ht="23.25" customHeight="1">
      <c r="A149" s="51" t="s">
        <v>310</v>
      </c>
      <c r="B149" s="11" t="s">
        <v>311</v>
      </c>
      <c r="C149" s="28" t="s">
        <v>28</v>
      </c>
      <c r="D149" s="11" t="s">
        <v>459</v>
      </c>
      <c r="E149" s="46" t="s">
        <v>387</v>
      </c>
      <c r="F149" s="30">
        <v>0</v>
      </c>
      <c r="G149" s="31">
        <v>0</v>
      </c>
      <c r="H149" s="31">
        <v>0</v>
      </c>
      <c r="I149" s="31">
        <v>0</v>
      </c>
      <c r="J149" s="31">
        <v>0</v>
      </c>
      <c r="K149" s="32"/>
      <c r="L149" s="36" t="s">
        <v>387</v>
      </c>
      <c r="M149" s="31" t="s">
        <v>387</v>
      </c>
      <c r="N149" s="31">
        <v>0</v>
      </c>
      <c r="O149" s="31"/>
      <c r="P149" s="33"/>
      <c r="Q149" s="31"/>
      <c r="R149" s="35" t="s">
        <v>387</v>
      </c>
      <c r="S149" s="31">
        <v>64</v>
      </c>
      <c r="T149" s="31">
        <v>0</v>
      </c>
      <c r="U149" s="31"/>
      <c r="V149" s="34" t="s">
        <v>387</v>
      </c>
      <c r="W149" s="31"/>
      <c r="X149" s="36">
        <v>0</v>
      </c>
      <c r="Y149" s="31"/>
      <c r="Z149" s="37" t="s">
        <v>387</v>
      </c>
      <c r="AA149" s="31"/>
      <c r="AB149" s="40">
        <f t="shared" si="7"/>
        <v>0</v>
      </c>
      <c r="AC149" s="31"/>
      <c r="AD149" s="38"/>
      <c r="AE149" s="31"/>
      <c r="AF149" s="39"/>
      <c r="AG149" s="39"/>
      <c r="AH149" s="39">
        <v>25000</v>
      </c>
      <c r="AI149" s="39">
        <v>-6211</v>
      </c>
      <c r="AJ149" s="31"/>
      <c r="AK149" s="40">
        <f t="shared" si="6"/>
        <v>18789</v>
      </c>
    </row>
    <row r="150" spans="1:37" s="2" customFormat="1" ht="23.25" customHeight="1">
      <c r="A150" s="51" t="s">
        <v>312</v>
      </c>
      <c r="B150" s="14" t="s">
        <v>313</v>
      </c>
      <c r="C150" s="29" t="s">
        <v>28</v>
      </c>
      <c r="D150" s="15" t="s">
        <v>452</v>
      </c>
      <c r="E150" s="46" t="s">
        <v>387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/>
      <c r="L150" s="31">
        <v>0</v>
      </c>
      <c r="M150" s="31" t="s">
        <v>387</v>
      </c>
      <c r="N150" s="31" t="s">
        <v>387</v>
      </c>
      <c r="O150" s="31"/>
      <c r="P150" s="31"/>
      <c r="Q150" s="31"/>
      <c r="R150" s="31">
        <v>156</v>
      </c>
      <c r="S150" s="31">
        <v>2639</v>
      </c>
      <c r="T150" s="31">
        <v>0</v>
      </c>
      <c r="U150" s="31"/>
      <c r="V150" s="31">
        <v>0</v>
      </c>
      <c r="W150" s="31"/>
      <c r="X150" s="31">
        <v>0</v>
      </c>
      <c r="Y150" s="31"/>
      <c r="Z150" s="31" t="s">
        <v>387</v>
      </c>
      <c r="AA150" s="31"/>
      <c r="AB150" s="41">
        <f t="shared" si="7"/>
        <v>156</v>
      </c>
      <c r="AC150" s="31"/>
      <c r="AD150" s="38"/>
      <c r="AE150" s="31"/>
      <c r="AF150" s="31"/>
      <c r="AG150" s="31"/>
      <c r="AH150" s="31"/>
      <c r="AI150" s="31">
        <v>-12384</v>
      </c>
      <c r="AJ150" s="31"/>
      <c r="AK150" s="41">
        <f t="shared" si="6"/>
        <v>-12384</v>
      </c>
    </row>
    <row r="151" spans="1:37" s="2" customFormat="1" ht="23.25" customHeight="1">
      <c r="A151" s="51" t="s">
        <v>314</v>
      </c>
      <c r="B151" s="11" t="s">
        <v>315</v>
      </c>
      <c r="C151" s="28" t="s">
        <v>28</v>
      </c>
      <c r="D151" s="11" t="s">
        <v>452</v>
      </c>
      <c r="E151" s="46" t="s">
        <v>387</v>
      </c>
      <c r="F151" s="30">
        <v>0</v>
      </c>
      <c r="G151" s="31">
        <v>0</v>
      </c>
      <c r="H151" s="31">
        <v>0</v>
      </c>
      <c r="I151" s="31">
        <v>0</v>
      </c>
      <c r="J151" s="31">
        <v>0</v>
      </c>
      <c r="K151" s="32"/>
      <c r="L151" s="36" t="s">
        <v>387</v>
      </c>
      <c r="M151" s="31" t="s">
        <v>387</v>
      </c>
      <c r="N151" s="31" t="s">
        <v>387</v>
      </c>
      <c r="O151" s="31"/>
      <c r="P151" s="33"/>
      <c r="Q151" s="31"/>
      <c r="R151" s="35" t="s">
        <v>387</v>
      </c>
      <c r="S151" s="31">
        <v>0</v>
      </c>
      <c r="T151" s="31">
        <v>0</v>
      </c>
      <c r="U151" s="31"/>
      <c r="V151" s="34" t="s">
        <v>387</v>
      </c>
      <c r="W151" s="31"/>
      <c r="X151" s="36">
        <v>0</v>
      </c>
      <c r="Y151" s="31"/>
      <c r="Z151" s="37" t="s">
        <v>387</v>
      </c>
      <c r="AA151" s="31"/>
      <c r="AB151" s="40">
        <f t="shared" si="7"/>
        <v>0</v>
      </c>
      <c r="AC151" s="31"/>
      <c r="AD151" s="38"/>
      <c r="AE151" s="31"/>
      <c r="AF151" s="39"/>
      <c r="AG151" s="39"/>
      <c r="AH151" s="39"/>
      <c r="AI151" s="39">
        <v>-23493</v>
      </c>
      <c r="AJ151" s="31"/>
      <c r="AK151" s="40">
        <f t="shared" si="6"/>
        <v>-23493</v>
      </c>
    </row>
    <row r="152" spans="1:37" s="2" customFormat="1" ht="23.25" customHeight="1">
      <c r="A152" s="51" t="s">
        <v>44</v>
      </c>
      <c r="B152" s="14" t="s">
        <v>45</v>
      </c>
      <c r="C152" s="29" t="s">
        <v>11</v>
      </c>
      <c r="D152" s="15" t="s">
        <v>453</v>
      </c>
      <c r="E152" s="46" t="s">
        <v>387</v>
      </c>
      <c r="F152" s="31">
        <v>0</v>
      </c>
      <c r="G152" s="31">
        <v>0</v>
      </c>
      <c r="H152" s="31">
        <v>0</v>
      </c>
      <c r="I152" s="31">
        <v>0</v>
      </c>
      <c r="J152" s="31">
        <v>3049767.93</v>
      </c>
      <c r="K152" s="31"/>
      <c r="L152" s="31">
        <v>359587</v>
      </c>
      <c r="M152" s="31" t="s">
        <v>387</v>
      </c>
      <c r="N152" s="31" t="s">
        <v>387</v>
      </c>
      <c r="O152" s="31"/>
      <c r="P152" s="31">
        <v>119576</v>
      </c>
      <c r="Q152" s="31"/>
      <c r="R152" s="31">
        <v>105007</v>
      </c>
      <c r="S152" s="31">
        <v>727167</v>
      </c>
      <c r="T152" s="31">
        <v>195179.77113959903</v>
      </c>
      <c r="U152" s="31"/>
      <c r="V152" s="31">
        <v>47005</v>
      </c>
      <c r="W152" s="31"/>
      <c r="X152" s="31">
        <v>0</v>
      </c>
      <c r="Y152" s="31"/>
      <c r="Z152" s="31" t="s">
        <v>387</v>
      </c>
      <c r="AA152" s="31"/>
      <c r="AB152" s="41">
        <f t="shared" si="7"/>
        <v>631175</v>
      </c>
      <c r="AC152" s="31"/>
      <c r="AD152" s="38"/>
      <c r="AE152" s="31"/>
      <c r="AF152" s="31"/>
      <c r="AG152" s="31"/>
      <c r="AH152" s="31"/>
      <c r="AI152" s="31">
        <v>-96125</v>
      </c>
      <c r="AJ152" s="31"/>
      <c r="AK152" s="41">
        <f t="shared" si="6"/>
        <v>-96125</v>
      </c>
    </row>
    <row r="153" spans="1:37" s="2" customFormat="1" ht="23.25" customHeight="1">
      <c r="A153" s="51" t="s">
        <v>46</v>
      </c>
      <c r="B153" s="11" t="s">
        <v>47</v>
      </c>
      <c r="C153" s="28" t="s">
        <v>48</v>
      </c>
      <c r="D153" s="11" t="s">
        <v>453</v>
      </c>
      <c r="E153" s="46" t="s">
        <v>387</v>
      </c>
      <c r="F153" s="30">
        <v>0</v>
      </c>
      <c r="G153" s="31">
        <v>0</v>
      </c>
      <c r="H153" s="31">
        <v>0</v>
      </c>
      <c r="I153" s="31">
        <v>0</v>
      </c>
      <c r="J153" s="31">
        <v>0</v>
      </c>
      <c r="K153" s="32"/>
      <c r="L153" s="36">
        <v>5683</v>
      </c>
      <c r="M153" s="31" t="s">
        <v>387</v>
      </c>
      <c r="N153" s="31">
        <v>91572</v>
      </c>
      <c r="O153" s="31"/>
      <c r="P153" s="33">
        <v>0</v>
      </c>
      <c r="Q153" s="31"/>
      <c r="R153" s="35">
        <v>21594</v>
      </c>
      <c r="S153" s="31">
        <v>171712</v>
      </c>
      <c r="T153" s="31">
        <v>55212.144048150694</v>
      </c>
      <c r="U153" s="31"/>
      <c r="V153" s="34">
        <v>10064</v>
      </c>
      <c r="W153" s="31"/>
      <c r="X153" s="36">
        <v>0</v>
      </c>
      <c r="Y153" s="31"/>
      <c r="Z153" s="37" t="s">
        <v>387</v>
      </c>
      <c r="AA153" s="31"/>
      <c r="AB153" s="40">
        <f t="shared" si="7"/>
        <v>37341</v>
      </c>
      <c r="AC153" s="31"/>
      <c r="AD153" s="38"/>
      <c r="AE153" s="31"/>
      <c r="AF153" s="39"/>
      <c r="AG153" s="39"/>
      <c r="AH153" s="39"/>
      <c r="AI153" s="39">
        <v>-199564</v>
      </c>
      <c r="AJ153" s="31"/>
      <c r="AK153" s="40">
        <f t="shared" si="6"/>
        <v>-199564</v>
      </c>
    </row>
    <row r="154" spans="1:37" s="2" customFormat="1" ht="23.25" customHeight="1">
      <c r="A154" s="51" t="s">
        <v>66</v>
      </c>
      <c r="B154" s="14" t="s">
        <v>67</v>
      </c>
      <c r="C154" s="29" t="s">
        <v>48</v>
      </c>
      <c r="D154" s="15" t="s">
        <v>453</v>
      </c>
      <c r="E154" s="46" t="s">
        <v>387</v>
      </c>
      <c r="F154" s="31">
        <v>72815.25</v>
      </c>
      <c r="G154" s="31">
        <v>0</v>
      </c>
      <c r="H154" s="31">
        <v>0</v>
      </c>
      <c r="I154" s="31">
        <v>0</v>
      </c>
      <c r="J154" s="31">
        <v>0</v>
      </c>
      <c r="K154" s="31"/>
      <c r="L154" s="31">
        <v>0</v>
      </c>
      <c r="M154" s="31">
        <v>118216</v>
      </c>
      <c r="N154" s="31" t="s">
        <v>387</v>
      </c>
      <c r="O154" s="31"/>
      <c r="P154" s="31">
        <v>29894</v>
      </c>
      <c r="Q154" s="31"/>
      <c r="R154" s="31">
        <v>77786</v>
      </c>
      <c r="S154" s="31">
        <v>337903</v>
      </c>
      <c r="T154" s="31">
        <v>34905.055957639051</v>
      </c>
      <c r="U154" s="31"/>
      <c r="V154" s="31">
        <v>0</v>
      </c>
      <c r="W154" s="31"/>
      <c r="X154" s="31">
        <v>0</v>
      </c>
      <c r="Y154" s="31"/>
      <c r="Z154" s="31" t="s">
        <v>387</v>
      </c>
      <c r="AA154" s="31"/>
      <c r="AB154" s="41">
        <f t="shared" si="7"/>
        <v>180495.25</v>
      </c>
      <c r="AC154" s="31"/>
      <c r="AD154" s="38"/>
      <c r="AE154" s="31"/>
      <c r="AF154" s="31"/>
      <c r="AG154" s="31"/>
      <c r="AH154" s="31"/>
      <c r="AI154" s="31">
        <v>-37161</v>
      </c>
      <c r="AJ154" s="31"/>
      <c r="AK154" s="41">
        <f t="shared" si="6"/>
        <v>-37161</v>
      </c>
    </row>
    <row r="155" spans="1:37" s="2" customFormat="1" ht="23.25" customHeight="1">
      <c r="A155" s="51" t="s">
        <v>92</v>
      </c>
      <c r="B155" s="11" t="s">
        <v>93</v>
      </c>
      <c r="C155" s="28" t="s">
        <v>11</v>
      </c>
      <c r="D155" s="11" t="s">
        <v>453</v>
      </c>
      <c r="E155" s="46" t="s">
        <v>387</v>
      </c>
      <c r="F155" s="30">
        <v>36271.269999999553</v>
      </c>
      <c r="G155" s="31">
        <v>0</v>
      </c>
      <c r="H155" s="31">
        <v>43392.107799999998</v>
      </c>
      <c r="I155" s="31">
        <v>0</v>
      </c>
      <c r="J155" s="31">
        <v>0</v>
      </c>
      <c r="K155" s="32"/>
      <c r="L155" s="36">
        <v>71966</v>
      </c>
      <c r="M155" s="31">
        <v>118838</v>
      </c>
      <c r="N155" s="31" t="s">
        <v>387</v>
      </c>
      <c r="O155" s="31"/>
      <c r="P155" s="33">
        <v>29894</v>
      </c>
      <c r="Q155" s="31"/>
      <c r="R155" s="35">
        <v>57069</v>
      </c>
      <c r="S155" s="31">
        <v>222943</v>
      </c>
      <c r="T155" s="31">
        <v>24111.290361267231</v>
      </c>
      <c r="U155" s="31"/>
      <c r="V155" s="34">
        <v>0</v>
      </c>
      <c r="W155" s="31"/>
      <c r="X155" s="36">
        <v>0</v>
      </c>
      <c r="Y155" s="31"/>
      <c r="Z155" s="37" t="s">
        <v>387</v>
      </c>
      <c r="AA155" s="31"/>
      <c r="AB155" s="40">
        <f t="shared" si="7"/>
        <v>195200.26999999955</v>
      </c>
      <c r="AC155" s="31"/>
      <c r="AD155" s="38"/>
      <c r="AE155" s="31"/>
      <c r="AF155" s="39"/>
      <c r="AG155" s="39"/>
      <c r="AH155" s="39"/>
      <c r="AI155" s="39">
        <v>-16657</v>
      </c>
      <c r="AJ155" s="31"/>
      <c r="AK155" s="40">
        <f t="shared" si="6"/>
        <v>-16657</v>
      </c>
    </row>
    <row r="156" spans="1:37" s="2" customFormat="1" ht="23.25" customHeight="1">
      <c r="A156" s="51" t="s">
        <v>316</v>
      </c>
      <c r="B156" s="14" t="s">
        <v>317</v>
      </c>
      <c r="C156" s="29" t="s">
        <v>28</v>
      </c>
      <c r="D156" s="15" t="s">
        <v>453</v>
      </c>
      <c r="E156" s="46" t="s">
        <v>387</v>
      </c>
      <c r="F156" s="31">
        <v>0</v>
      </c>
      <c r="G156" s="31">
        <v>0</v>
      </c>
      <c r="H156" s="31">
        <v>0</v>
      </c>
      <c r="I156" s="31">
        <v>0</v>
      </c>
      <c r="J156" s="31">
        <v>0</v>
      </c>
      <c r="K156" s="31"/>
      <c r="L156" s="31">
        <v>0</v>
      </c>
      <c r="M156" s="31" t="s">
        <v>387</v>
      </c>
      <c r="N156" s="31" t="s">
        <v>387</v>
      </c>
      <c r="O156" s="31"/>
      <c r="P156" s="31">
        <v>0</v>
      </c>
      <c r="Q156" s="31"/>
      <c r="R156" s="31">
        <v>69</v>
      </c>
      <c r="S156" s="31">
        <v>1165</v>
      </c>
      <c r="T156" s="31">
        <v>0</v>
      </c>
      <c r="U156" s="31"/>
      <c r="V156" s="31">
        <v>0</v>
      </c>
      <c r="W156" s="31"/>
      <c r="X156" s="31">
        <v>0</v>
      </c>
      <c r="Y156" s="31"/>
      <c r="Z156" s="31" t="s">
        <v>387</v>
      </c>
      <c r="AA156" s="31"/>
      <c r="AB156" s="41">
        <f t="shared" si="7"/>
        <v>69</v>
      </c>
      <c r="AC156" s="31"/>
      <c r="AD156" s="38"/>
      <c r="AE156" s="31"/>
      <c r="AF156" s="31"/>
      <c r="AG156" s="31"/>
      <c r="AH156" s="31"/>
      <c r="AI156" s="31">
        <v>-1113</v>
      </c>
      <c r="AJ156" s="31"/>
      <c r="AK156" s="41">
        <f t="shared" si="6"/>
        <v>-1113</v>
      </c>
    </row>
    <row r="157" spans="1:37" s="2" customFormat="1" ht="23.25" customHeight="1">
      <c r="A157" s="51" t="s">
        <v>318</v>
      </c>
      <c r="B157" s="11" t="s">
        <v>319</v>
      </c>
      <c r="C157" s="28" t="s">
        <v>28</v>
      </c>
      <c r="D157" s="11" t="s">
        <v>453</v>
      </c>
      <c r="E157" s="46" t="s">
        <v>387</v>
      </c>
      <c r="F157" s="30">
        <v>0</v>
      </c>
      <c r="G157" s="31">
        <v>0</v>
      </c>
      <c r="H157" s="31">
        <v>0</v>
      </c>
      <c r="I157" s="31">
        <v>0</v>
      </c>
      <c r="J157" s="31">
        <v>0</v>
      </c>
      <c r="K157" s="32"/>
      <c r="L157" s="36">
        <v>0</v>
      </c>
      <c r="M157" s="31" t="s">
        <v>387</v>
      </c>
      <c r="N157" s="31" t="s">
        <v>387</v>
      </c>
      <c r="O157" s="31"/>
      <c r="P157" s="33">
        <v>0</v>
      </c>
      <c r="Q157" s="31"/>
      <c r="R157" s="35">
        <v>4338</v>
      </c>
      <c r="S157" s="31">
        <v>73324</v>
      </c>
      <c r="T157" s="31">
        <v>0</v>
      </c>
      <c r="U157" s="31"/>
      <c r="V157" s="34">
        <v>0</v>
      </c>
      <c r="W157" s="31"/>
      <c r="X157" s="36">
        <v>0</v>
      </c>
      <c r="Y157" s="31"/>
      <c r="Z157" s="37" t="s">
        <v>387</v>
      </c>
      <c r="AA157" s="31"/>
      <c r="AB157" s="40">
        <f t="shared" si="7"/>
        <v>4338</v>
      </c>
      <c r="AC157" s="31"/>
      <c r="AD157" s="38"/>
      <c r="AE157" s="31"/>
      <c r="AF157" s="39"/>
      <c r="AG157" s="39"/>
      <c r="AH157" s="39"/>
      <c r="AI157" s="39"/>
      <c r="AJ157" s="31"/>
      <c r="AK157" s="40"/>
    </row>
    <row r="158" spans="1:37" s="2" customFormat="1" ht="23.25" customHeight="1">
      <c r="A158" s="51" t="s">
        <v>320</v>
      </c>
      <c r="B158" s="14" t="s">
        <v>321</v>
      </c>
      <c r="C158" s="29" t="s">
        <v>28</v>
      </c>
      <c r="D158" s="15" t="s">
        <v>453</v>
      </c>
      <c r="E158" s="46" t="s">
        <v>387</v>
      </c>
      <c r="F158" s="31">
        <v>0</v>
      </c>
      <c r="G158" s="31">
        <v>0</v>
      </c>
      <c r="H158" s="31">
        <v>0</v>
      </c>
      <c r="I158" s="31">
        <v>0</v>
      </c>
      <c r="J158" s="31">
        <v>0</v>
      </c>
      <c r="K158" s="31"/>
      <c r="L158" s="31">
        <v>0</v>
      </c>
      <c r="M158" s="31" t="s">
        <v>387</v>
      </c>
      <c r="N158" s="31" t="s">
        <v>387</v>
      </c>
      <c r="O158" s="31"/>
      <c r="P158" s="31">
        <v>59788</v>
      </c>
      <c r="Q158" s="31"/>
      <c r="R158" s="31">
        <v>0</v>
      </c>
      <c r="S158" s="31">
        <v>0</v>
      </c>
      <c r="T158" s="31">
        <v>0</v>
      </c>
      <c r="U158" s="31"/>
      <c r="V158" s="31">
        <v>0</v>
      </c>
      <c r="W158" s="31"/>
      <c r="X158" s="31">
        <v>0</v>
      </c>
      <c r="Y158" s="31"/>
      <c r="Z158" s="31" t="s">
        <v>387</v>
      </c>
      <c r="AA158" s="31"/>
      <c r="AB158" s="41">
        <f t="shared" si="7"/>
        <v>59788</v>
      </c>
      <c r="AC158" s="31"/>
      <c r="AD158" s="38"/>
      <c r="AE158" s="31"/>
      <c r="AF158" s="31"/>
      <c r="AG158" s="31"/>
      <c r="AH158" s="31"/>
      <c r="AI158" s="31">
        <v>-47488</v>
      </c>
      <c r="AJ158" s="31"/>
      <c r="AK158" s="41">
        <f t="shared" si="6"/>
        <v>-47488</v>
      </c>
    </row>
    <row r="159" spans="1:37" s="2" customFormat="1" ht="23.25" customHeight="1">
      <c r="A159" s="51" t="s">
        <v>322</v>
      </c>
      <c r="B159" s="11" t="s">
        <v>323</v>
      </c>
      <c r="C159" s="28" t="s">
        <v>28</v>
      </c>
      <c r="D159" s="11" t="s">
        <v>453</v>
      </c>
      <c r="E159" s="46" t="s">
        <v>387</v>
      </c>
      <c r="F159" s="30">
        <v>0</v>
      </c>
      <c r="G159" s="31">
        <v>0</v>
      </c>
      <c r="H159" s="31">
        <v>0</v>
      </c>
      <c r="I159" s="31">
        <v>0</v>
      </c>
      <c r="J159" s="31">
        <v>0</v>
      </c>
      <c r="K159" s="32"/>
      <c r="L159" s="36">
        <v>0</v>
      </c>
      <c r="M159" s="31" t="s">
        <v>387</v>
      </c>
      <c r="N159" s="31" t="s">
        <v>387</v>
      </c>
      <c r="O159" s="31"/>
      <c r="P159" s="33">
        <v>0</v>
      </c>
      <c r="Q159" s="31"/>
      <c r="R159" s="35">
        <v>69</v>
      </c>
      <c r="S159" s="31">
        <v>1165</v>
      </c>
      <c r="T159" s="31">
        <v>0</v>
      </c>
      <c r="U159" s="31"/>
      <c r="V159" s="34">
        <v>0</v>
      </c>
      <c r="W159" s="31"/>
      <c r="X159" s="36">
        <v>0</v>
      </c>
      <c r="Y159" s="31"/>
      <c r="Z159" s="37" t="s">
        <v>387</v>
      </c>
      <c r="AA159" s="31"/>
      <c r="AB159" s="40">
        <f t="shared" si="7"/>
        <v>69</v>
      </c>
      <c r="AC159" s="31"/>
      <c r="AD159" s="38"/>
      <c r="AE159" s="31"/>
      <c r="AF159" s="39"/>
      <c r="AG159" s="39"/>
      <c r="AH159" s="39"/>
      <c r="AI159" s="39">
        <v>-183816</v>
      </c>
      <c r="AJ159" s="31"/>
      <c r="AK159" s="40">
        <f t="shared" si="6"/>
        <v>-183816</v>
      </c>
    </row>
    <row r="160" spans="1:37" s="2" customFormat="1" ht="23.25" customHeight="1">
      <c r="A160" s="51" t="s">
        <v>324</v>
      </c>
      <c r="B160" s="14" t="s">
        <v>325</v>
      </c>
      <c r="C160" s="29" t="s">
        <v>28</v>
      </c>
      <c r="D160" s="15" t="s">
        <v>453</v>
      </c>
      <c r="E160" s="46" t="s">
        <v>387</v>
      </c>
      <c r="F160" s="31">
        <v>-278247</v>
      </c>
      <c r="G160" s="31">
        <v>0</v>
      </c>
      <c r="H160" s="31">
        <v>0</v>
      </c>
      <c r="I160" s="31">
        <v>0</v>
      </c>
      <c r="J160" s="31">
        <v>-237523</v>
      </c>
      <c r="K160" s="31"/>
      <c r="L160" s="31">
        <v>0</v>
      </c>
      <c r="M160" s="31" t="s">
        <v>387</v>
      </c>
      <c r="N160" s="31">
        <v>0</v>
      </c>
      <c r="O160" s="31"/>
      <c r="P160" s="31">
        <v>0</v>
      </c>
      <c r="Q160" s="31"/>
      <c r="R160" s="31">
        <v>20731</v>
      </c>
      <c r="S160" s="31">
        <v>350349</v>
      </c>
      <c r="T160" s="31">
        <v>0</v>
      </c>
      <c r="U160" s="31"/>
      <c r="V160" s="31">
        <v>0</v>
      </c>
      <c r="W160" s="31"/>
      <c r="X160" s="31">
        <v>0</v>
      </c>
      <c r="Y160" s="31"/>
      <c r="Z160" s="31" t="s">
        <v>387</v>
      </c>
      <c r="AA160" s="31"/>
      <c r="AB160" s="41">
        <f t="shared" si="7"/>
        <v>-257516</v>
      </c>
      <c r="AC160" s="31"/>
      <c r="AD160" s="38"/>
      <c r="AE160" s="31"/>
      <c r="AF160" s="31"/>
      <c r="AG160" s="31"/>
      <c r="AH160" s="31"/>
      <c r="AI160" s="31">
        <v>-644662</v>
      </c>
      <c r="AJ160" s="31"/>
      <c r="AK160" s="41">
        <f t="shared" si="6"/>
        <v>-644662</v>
      </c>
    </row>
    <row r="161" spans="1:37" s="2" customFormat="1" ht="23.25" customHeight="1">
      <c r="A161" s="51" t="s">
        <v>326</v>
      </c>
      <c r="B161" s="11" t="s">
        <v>327</v>
      </c>
      <c r="C161" s="28" t="s">
        <v>28</v>
      </c>
      <c r="D161" s="11" t="s">
        <v>453</v>
      </c>
      <c r="E161" s="46" t="s">
        <v>387</v>
      </c>
      <c r="F161" s="30">
        <v>0</v>
      </c>
      <c r="G161" s="31">
        <v>0</v>
      </c>
      <c r="H161" s="31">
        <v>0</v>
      </c>
      <c r="I161" s="31">
        <v>0</v>
      </c>
      <c r="J161" s="31">
        <v>0</v>
      </c>
      <c r="K161" s="32"/>
      <c r="L161" s="36">
        <v>0</v>
      </c>
      <c r="M161" s="31" t="s">
        <v>387</v>
      </c>
      <c r="N161" s="31" t="s">
        <v>387</v>
      </c>
      <c r="O161" s="31"/>
      <c r="P161" s="33">
        <v>0</v>
      </c>
      <c r="Q161" s="31"/>
      <c r="R161" s="35">
        <v>1189</v>
      </c>
      <c r="S161" s="31">
        <v>20091</v>
      </c>
      <c r="T161" s="31">
        <v>0</v>
      </c>
      <c r="U161" s="31"/>
      <c r="V161" s="34">
        <v>0</v>
      </c>
      <c r="W161" s="31"/>
      <c r="X161" s="36">
        <v>0</v>
      </c>
      <c r="Y161" s="31"/>
      <c r="Z161" s="37" t="s">
        <v>387</v>
      </c>
      <c r="AA161" s="31"/>
      <c r="AB161" s="40">
        <f t="shared" si="7"/>
        <v>1189</v>
      </c>
      <c r="AC161" s="31"/>
      <c r="AD161" s="38"/>
      <c r="AE161" s="31"/>
      <c r="AF161" s="39"/>
      <c r="AG161" s="39"/>
      <c r="AH161" s="39"/>
      <c r="AI161" s="39"/>
      <c r="AJ161" s="31"/>
      <c r="AK161" s="40"/>
    </row>
    <row r="162" spans="1:37" s="2" customFormat="1" ht="23.25" customHeight="1">
      <c r="A162" s="51" t="s">
        <v>328</v>
      </c>
      <c r="B162" s="14" t="s">
        <v>329</v>
      </c>
      <c r="C162" s="29" t="s">
        <v>28</v>
      </c>
      <c r="D162" s="15" t="s">
        <v>453</v>
      </c>
      <c r="E162" s="46" t="s">
        <v>387</v>
      </c>
      <c r="F162" s="31">
        <v>0</v>
      </c>
      <c r="G162" s="31">
        <v>0</v>
      </c>
      <c r="H162" s="31">
        <v>0</v>
      </c>
      <c r="I162" s="31">
        <v>0</v>
      </c>
      <c r="J162" s="31">
        <v>0</v>
      </c>
      <c r="K162" s="31"/>
      <c r="L162" s="31">
        <v>0</v>
      </c>
      <c r="M162" s="31" t="s">
        <v>387</v>
      </c>
      <c r="N162" s="31">
        <v>0</v>
      </c>
      <c r="O162" s="31"/>
      <c r="P162" s="31">
        <v>0</v>
      </c>
      <c r="Q162" s="31"/>
      <c r="R162" s="31">
        <v>398</v>
      </c>
      <c r="S162" s="31">
        <v>6728</v>
      </c>
      <c r="T162" s="31">
        <v>0</v>
      </c>
      <c r="U162" s="31"/>
      <c r="V162" s="31">
        <v>0</v>
      </c>
      <c r="W162" s="31"/>
      <c r="X162" s="31">
        <v>0</v>
      </c>
      <c r="Y162" s="31"/>
      <c r="Z162" s="31" t="s">
        <v>387</v>
      </c>
      <c r="AA162" s="31"/>
      <c r="AB162" s="41">
        <f t="shared" si="7"/>
        <v>398</v>
      </c>
      <c r="AC162" s="31"/>
      <c r="AD162" s="38"/>
      <c r="AE162" s="31"/>
      <c r="AF162" s="31"/>
      <c r="AG162" s="31"/>
      <c r="AH162" s="31"/>
      <c r="AI162" s="31">
        <v>-22336</v>
      </c>
      <c r="AJ162" s="31"/>
      <c r="AK162" s="41">
        <f t="shared" si="6"/>
        <v>-22336</v>
      </c>
    </row>
    <row r="163" spans="1:37" s="2" customFormat="1" ht="23.25" customHeight="1">
      <c r="A163" s="51" t="s">
        <v>330</v>
      </c>
      <c r="B163" s="11" t="s">
        <v>331</v>
      </c>
      <c r="C163" s="28" t="s">
        <v>28</v>
      </c>
      <c r="D163" s="11" t="s">
        <v>453</v>
      </c>
      <c r="E163" s="46" t="s">
        <v>387</v>
      </c>
      <c r="F163" s="30">
        <v>0</v>
      </c>
      <c r="G163" s="31">
        <v>0</v>
      </c>
      <c r="H163" s="31">
        <v>0</v>
      </c>
      <c r="I163" s="31">
        <v>0</v>
      </c>
      <c r="J163" s="31">
        <v>0</v>
      </c>
      <c r="K163" s="32"/>
      <c r="L163" s="36">
        <v>0</v>
      </c>
      <c r="M163" s="31" t="s">
        <v>387</v>
      </c>
      <c r="N163" s="31" t="s">
        <v>387</v>
      </c>
      <c r="O163" s="31"/>
      <c r="P163" s="33">
        <v>0</v>
      </c>
      <c r="Q163" s="31"/>
      <c r="R163" s="35">
        <v>3700</v>
      </c>
      <c r="S163" s="31">
        <v>24005</v>
      </c>
      <c r="T163" s="31">
        <v>21533.041083867301</v>
      </c>
      <c r="U163" s="31"/>
      <c r="V163" s="34">
        <v>0</v>
      </c>
      <c r="W163" s="31"/>
      <c r="X163" s="36">
        <v>0</v>
      </c>
      <c r="Y163" s="31"/>
      <c r="Z163" s="37" t="s">
        <v>387</v>
      </c>
      <c r="AA163" s="31"/>
      <c r="AB163" s="40">
        <f t="shared" si="7"/>
        <v>3700</v>
      </c>
      <c r="AC163" s="31"/>
      <c r="AD163" s="38"/>
      <c r="AE163" s="31"/>
      <c r="AF163" s="39"/>
      <c r="AG163" s="39"/>
      <c r="AH163" s="39"/>
      <c r="AI163" s="39">
        <v>-15203</v>
      </c>
      <c r="AJ163" s="31"/>
      <c r="AK163" s="40">
        <f t="shared" si="6"/>
        <v>-15203</v>
      </c>
    </row>
    <row r="164" spans="1:37" s="2" customFormat="1" ht="23.25" customHeight="1">
      <c r="A164" s="51" t="s">
        <v>332</v>
      </c>
      <c r="B164" s="14" t="s">
        <v>381</v>
      </c>
      <c r="C164" s="29" t="s">
        <v>28</v>
      </c>
      <c r="D164" s="15" t="s">
        <v>453</v>
      </c>
      <c r="E164" s="46" t="s">
        <v>387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  <c r="K164" s="31"/>
      <c r="L164" s="31">
        <v>0</v>
      </c>
      <c r="M164" s="31" t="s">
        <v>387</v>
      </c>
      <c r="N164" s="31" t="s">
        <v>387</v>
      </c>
      <c r="O164" s="31"/>
      <c r="P164" s="31">
        <v>0</v>
      </c>
      <c r="Q164" s="31"/>
      <c r="R164" s="31">
        <v>1779</v>
      </c>
      <c r="S164" s="31">
        <v>12679</v>
      </c>
      <c r="T164" s="31">
        <v>1139.2086164982356</v>
      </c>
      <c r="U164" s="31"/>
      <c r="V164" s="31">
        <v>0</v>
      </c>
      <c r="W164" s="31"/>
      <c r="X164" s="31">
        <v>0</v>
      </c>
      <c r="Y164" s="31"/>
      <c r="Z164" s="31" t="s">
        <v>387</v>
      </c>
      <c r="AA164" s="31"/>
      <c r="AB164" s="41">
        <f t="shared" si="7"/>
        <v>1779</v>
      </c>
      <c r="AC164" s="31"/>
      <c r="AD164" s="38"/>
      <c r="AE164" s="31"/>
      <c r="AF164" s="31"/>
      <c r="AG164" s="31"/>
      <c r="AH164" s="31">
        <v>2400000</v>
      </c>
      <c r="AI164" s="31">
        <v>-486608</v>
      </c>
      <c r="AJ164" s="31"/>
      <c r="AK164" s="41">
        <f t="shared" si="6"/>
        <v>1913392</v>
      </c>
    </row>
    <row r="165" spans="1:37" s="2" customFormat="1" ht="23.25" customHeight="1">
      <c r="A165" s="51" t="s">
        <v>64</v>
      </c>
      <c r="B165" s="11" t="s">
        <v>65</v>
      </c>
      <c r="C165" s="28" t="s">
        <v>48</v>
      </c>
      <c r="D165" s="11" t="s">
        <v>454</v>
      </c>
      <c r="E165" s="46" t="s">
        <v>387</v>
      </c>
      <c r="F165" s="30">
        <v>0</v>
      </c>
      <c r="G165" s="31">
        <v>0</v>
      </c>
      <c r="H165" s="31">
        <v>0</v>
      </c>
      <c r="I165" s="31">
        <v>0</v>
      </c>
      <c r="J165" s="31">
        <v>0</v>
      </c>
      <c r="K165" s="32"/>
      <c r="L165" s="36">
        <v>0</v>
      </c>
      <c r="M165" s="31">
        <v>29554</v>
      </c>
      <c r="N165" s="31" t="s">
        <v>387</v>
      </c>
      <c r="O165" s="31"/>
      <c r="P165" s="33">
        <v>0</v>
      </c>
      <c r="Q165" s="31"/>
      <c r="R165" s="35">
        <v>1511</v>
      </c>
      <c r="S165" s="31">
        <v>10595</v>
      </c>
      <c r="T165" s="31">
        <v>0</v>
      </c>
      <c r="U165" s="31"/>
      <c r="V165" s="34">
        <v>0</v>
      </c>
      <c r="W165" s="31"/>
      <c r="X165" s="36">
        <v>0</v>
      </c>
      <c r="Y165" s="31"/>
      <c r="Z165" s="37" t="s">
        <v>387</v>
      </c>
      <c r="AA165" s="31"/>
      <c r="AB165" s="40">
        <f t="shared" si="7"/>
        <v>1511</v>
      </c>
      <c r="AC165" s="31"/>
      <c r="AD165" s="38"/>
      <c r="AE165" s="31"/>
      <c r="AF165" s="39"/>
      <c r="AG165" s="39"/>
      <c r="AH165" s="39"/>
      <c r="AI165" s="39">
        <v>-4007</v>
      </c>
      <c r="AJ165" s="31"/>
      <c r="AK165" s="40">
        <f t="shared" si="6"/>
        <v>-4007</v>
      </c>
    </row>
    <row r="166" spans="1:37" s="2" customFormat="1" ht="23.25" customHeight="1">
      <c r="A166" s="51" t="s">
        <v>33</v>
      </c>
      <c r="B166" s="14" t="s">
        <v>34</v>
      </c>
      <c r="C166" s="29" t="s">
        <v>35</v>
      </c>
      <c r="D166" s="15" t="s">
        <v>458</v>
      </c>
      <c r="E166" s="46" t="s">
        <v>387</v>
      </c>
      <c r="F166" s="31">
        <v>95317.35000000149</v>
      </c>
      <c r="G166" s="31">
        <v>0</v>
      </c>
      <c r="H166" s="31">
        <v>0</v>
      </c>
      <c r="I166" s="31">
        <v>0</v>
      </c>
      <c r="J166" s="31">
        <v>0</v>
      </c>
      <c r="K166" s="31"/>
      <c r="L166" s="31">
        <v>56430</v>
      </c>
      <c r="M166" s="31">
        <v>29554</v>
      </c>
      <c r="N166" s="31" t="s">
        <v>387</v>
      </c>
      <c r="O166" s="31"/>
      <c r="P166" s="31">
        <v>0</v>
      </c>
      <c r="Q166" s="31"/>
      <c r="R166" s="31">
        <v>28380</v>
      </c>
      <c r="S166" s="31">
        <v>330277</v>
      </c>
      <c r="T166" s="31">
        <v>52211.483036227037</v>
      </c>
      <c r="U166" s="31"/>
      <c r="V166" s="31">
        <v>0</v>
      </c>
      <c r="W166" s="31"/>
      <c r="X166" s="31">
        <v>0</v>
      </c>
      <c r="Y166" s="31"/>
      <c r="Z166" s="31">
        <v>3916</v>
      </c>
      <c r="AA166" s="31"/>
      <c r="AB166" s="41">
        <f t="shared" si="7"/>
        <v>184043.35000000149</v>
      </c>
      <c r="AC166" s="31"/>
      <c r="AD166" s="38"/>
      <c r="AE166" s="31"/>
      <c r="AF166" s="31"/>
      <c r="AG166" s="31"/>
      <c r="AH166" s="31">
        <v>400000</v>
      </c>
      <c r="AI166" s="31">
        <v>-188945</v>
      </c>
      <c r="AJ166" s="31"/>
      <c r="AK166" s="41">
        <f t="shared" si="6"/>
        <v>211055</v>
      </c>
    </row>
    <row r="167" spans="1:37" s="2" customFormat="1" ht="23.25" customHeight="1">
      <c r="A167" s="51" t="s">
        <v>36</v>
      </c>
      <c r="B167" s="11" t="s">
        <v>37</v>
      </c>
      <c r="C167" s="28" t="s">
        <v>38</v>
      </c>
      <c r="D167" s="11" t="s">
        <v>420</v>
      </c>
      <c r="E167" s="46" t="s">
        <v>387</v>
      </c>
      <c r="F167" s="30">
        <v>0</v>
      </c>
      <c r="G167" s="31">
        <v>0</v>
      </c>
      <c r="H167" s="31">
        <v>0</v>
      </c>
      <c r="I167" s="31">
        <v>0</v>
      </c>
      <c r="J167" s="31">
        <v>0</v>
      </c>
      <c r="K167" s="32"/>
      <c r="L167" s="36">
        <v>438160</v>
      </c>
      <c r="M167" s="31">
        <v>88662</v>
      </c>
      <c r="N167" s="31">
        <v>122096</v>
      </c>
      <c r="O167" s="31"/>
      <c r="P167" s="33">
        <v>149470</v>
      </c>
      <c r="Q167" s="31"/>
      <c r="R167" s="35">
        <v>127883</v>
      </c>
      <c r="S167" s="31">
        <v>866701</v>
      </c>
      <c r="T167" s="31">
        <v>174540.57088495154</v>
      </c>
      <c r="U167" s="31"/>
      <c r="V167" s="34">
        <v>40256</v>
      </c>
      <c r="W167" s="31"/>
      <c r="X167" s="36">
        <v>0</v>
      </c>
      <c r="Y167" s="31"/>
      <c r="Z167" s="37">
        <v>805768</v>
      </c>
      <c r="AA167" s="31"/>
      <c r="AB167" s="40">
        <f t="shared" si="7"/>
        <v>1561537</v>
      </c>
      <c r="AC167" s="31"/>
      <c r="AD167" s="38"/>
      <c r="AE167" s="31"/>
      <c r="AF167" s="39"/>
      <c r="AG167" s="39"/>
      <c r="AH167" s="39">
        <v>370000</v>
      </c>
      <c r="AI167" s="39">
        <v>-727036</v>
      </c>
      <c r="AJ167" s="31"/>
      <c r="AK167" s="40">
        <f t="shared" si="6"/>
        <v>-357036</v>
      </c>
    </row>
    <row r="168" spans="1:37" s="2" customFormat="1" ht="23.25" customHeight="1">
      <c r="A168" s="51" t="s">
        <v>88</v>
      </c>
      <c r="B168" s="14" t="s">
        <v>89</v>
      </c>
      <c r="C168" s="29" t="s">
        <v>35</v>
      </c>
      <c r="D168" s="15" t="s">
        <v>420</v>
      </c>
      <c r="E168" s="46" t="s">
        <v>387</v>
      </c>
      <c r="F168" s="31">
        <v>0</v>
      </c>
      <c r="G168" s="31">
        <v>0</v>
      </c>
      <c r="H168" s="31">
        <v>0</v>
      </c>
      <c r="I168" s="31">
        <v>0</v>
      </c>
      <c r="J168" s="31">
        <v>0</v>
      </c>
      <c r="K168" s="31"/>
      <c r="L168" s="31">
        <v>0</v>
      </c>
      <c r="M168" s="31">
        <v>88662</v>
      </c>
      <c r="N168" s="31">
        <v>61048</v>
      </c>
      <c r="O168" s="31"/>
      <c r="P168" s="31">
        <v>59788</v>
      </c>
      <c r="Q168" s="31"/>
      <c r="R168" s="31">
        <v>8909</v>
      </c>
      <c r="S168" s="31">
        <v>29661</v>
      </c>
      <c r="T168" s="31">
        <v>4038.9798762173978</v>
      </c>
      <c r="U168" s="31"/>
      <c r="V168" s="31">
        <v>0</v>
      </c>
      <c r="W168" s="31"/>
      <c r="X168" s="31">
        <v>0</v>
      </c>
      <c r="Y168" s="31"/>
      <c r="Z168" s="31">
        <v>-9760</v>
      </c>
      <c r="AA168" s="31"/>
      <c r="AB168" s="41">
        <f t="shared" si="7"/>
        <v>58937</v>
      </c>
      <c r="AC168" s="31"/>
      <c r="AD168" s="38"/>
      <c r="AE168" s="31"/>
      <c r="AF168" s="31"/>
      <c r="AG168" s="31"/>
      <c r="AH168" s="31">
        <v>0</v>
      </c>
      <c r="AI168" s="31">
        <v>-29285</v>
      </c>
      <c r="AJ168" s="31"/>
      <c r="AK168" s="41">
        <f t="shared" si="6"/>
        <v>-29285</v>
      </c>
    </row>
    <row r="169" spans="1:37" s="2" customFormat="1" ht="23.25" customHeight="1">
      <c r="A169" s="51" t="s">
        <v>94</v>
      </c>
      <c r="B169" s="11" t="s">
        <v>95</v>
      </c>
      <c r="C169" s="28" t="s">
        <v>5</v>
      </c>
      <c r="D169" s="11" t="s">
        <v>420</v>
      </c>
      <c r="E169" s="46" t="s">
        <v>387</v>
      </c>
      <c r="F169" s="30">
        <v>0</v>
      </c>
      <c r="G169" s="31">
        <v>0</v>
      </c>
      <c r="H169" s="31">
        <v>0</v>
      </c>
      <c r="I169" s="31">
        <v>0</v>
      </c>
      <c r="J169" s="31">
        <v>0</v>
      </c>
      <c r="K169" s="32"/>
      <c r="L169" s="36">
        <v>325685</v>
      </c>
      <c r="M169" s="31">
        <v>88662</v>
      </c>
      <c r="N169" s="31">
        <v>183144</v>
      </c>
      <c r="O169" s="31"/>
      <c r="P169" s="33">
        <v>179364</v>
      </c>
      <c r="Q169" s="31"/>
      <c r="R169" s="35">
        <v>86580</v>
      </c>
      <c r="S169" s="31">
        <v>479508</v>
      </c>
      <c r="T169" s="31">
        <v>86089.18724799456</v>
      </c>
      <c r="U169" s="31"/>
      <c r="V169" s="34">
        <v>20128</v>
      </c>
      <c r="W169" s="31"/>
      <c r="X169" s="36">
        <v>0</v>
      </c>
      <c r="Y169" s="31"/>
      <c r="Z169" s="37">
        <v>-55304</v>
      </c>
      <c r="AA169" s="31"/>
      <c r="AB169" s="40">
        <f t="shared" si="7"/>
        <v>556453</v>
      </c>
      <c r="AC169" s="31"/>
      <c r="AD169" s="38"/>
      <c r="AE169" s="31"/>
      <c r="AF169" s="39"/>
      <c r="AG169" s="39"/>
      <c r="AH169" s="39">
        <v>205000</v>
      </c>
      <c r="AI169" s="39">
        <v>-504647</v>
      </c>
      <c r="AJ169" s="31"/>
      <c r="AK169" s="40">
        <f t="shared" si="6"/>
        <v>-299647</v>
      </c>
    </row>
    <row r="170" spans="1:37" s="2" customFormat="1" ht="23.25" customHeight="1">
      <c r="A170" s="51" t="s">
        <v>165</v>
      </c>
      <c r="B170" s="14" t="s">
        <v>166</v>
      </c>
      <c r="C170" s="29" t="s">
        <v>48</v>
      </c>
      <c r="D170" s="15" t="s">
        <v>420</v>
      </c>
      <c r="E170" s="46" t="s">
        <v>387</v>
      </c>
      <c r="F170" s="31">
        <v>0</v>
      </c>
      <c r="G170" s="31">
        <v>0</v>
      </c>
      <c r="H170" s="31">
        <v>0</v>
      </c>
      <c r="I170" s="31">
        <v>0</v>
      </c>
      <c r="J170" s="31">
        <v>0</v>
      </c>
      <c r="K170" s="31"/>
      <c r="L170" s="31">
        <v>532528</v>
      </c>
      <c r="M170" s="31">
        <v>295540</v>
      </c>
      <c r="N170" s="31">
        <v>152620</v>
      </c>
      <c r="O170" s="31"/>
      <c r="P170" s="31">
        <v>239152</v>
      </c>
      <c r="Q170" s="31"/>
      <c r="R170" s="31">
        <v>199223</v>
      </c>
      <c r="S170" s="31">
        <v>1166665</v>
      </c>
      <c r="T170" s="31">
        <v>204540.66429308397</v>
      </c>
      <c r="U170" s="31"/>
      <c r="V170" s="31">
        <v>33625</v>
      </c>
      <c r="W170" s="31"/>
      <c r="X170" s="31">
        <v>0</v>
      </c>
      <c r="Y170" s="31"/>
      <c r="Z170" s="31">
        <v>-14112</v>
      </c>
      <c r="AA170" s="31"/>
      <c r="AB170" s="41">
        <f t="shared" si="7"/>
        <v>990416</v>
      </c>
      <c r="AC170" s="31"/>
      <c r="AD170" s="38"/>
      <c r="AE170" s="31"/>
      <c r="AF170" s="31"/>
      <c r="AG170" s="31"/>
      <c r="AH170" s="31">
        <v>450000</v>
      </c>
      <c r="AI170" s="31">
        <v>-949073</v>
      </c>
      <c r="AJ170" s="31"/>
      <c r="AK170" s="41">
        <f t="shared" si="6"/>
        <v>-499073</v>
      </c>
    </row>
    <row r="171" spans="1:37" s="2" customFormat="1" ht="23.25" customHeight="1">
      <c r="A171" s="51" t="s">
        <v>167</v>
      </c>
      <c r="B171" s="11" t="s">
        <v>168</v>
      </c>
      <c r="C171" s="28" t="s">
        <v>8</v>
      </c>
      <c r="D171" s="11" t="s">
        <v>420</v>
      </c>
      <c r="E171" s="46" t="s">
        <v>387</v>
      </c>
      <c r="F171" s="30">
        <v>88635.760000020266</v>
      </c>
      <c r="G171" s="31">
        <v>-33385.258582200331</v>
      </c>
      <c r="H171" s="31">
        <v>7298.8510913299979</v>
      </c>
      <c r="I171" s="31">
        <v>-53333</v>
      </c>
      <c r="J171" s="31">
        <v>-58333.333338670003</v>
      </c>
      <c r="K171" s="32"/>
      <c r="L171" s="36">
        <v>1372984</v>
      </c>
      <c r="M171" s="31">
        <v>29554</v>
      </c>
      <c r="N171" s="31">
        <v>61048</v>
      </c>
      <c r="O171" s="31"/>
      <c r="P171" s="33">
        <v>59788</v>
      </c>
      <c r="Q171" s="31"/>
      <c r="R171" s="35">
        <v>353630</v>
      </c>
      <c r="S171" s="31">
        <v>2026051</v>
      </c>
      <c r="T171" s="31">
        <v>430575.84954661393</v>
      </c>
      <c r="U171" s="31"/>
      <c r="V171" s="34">
        <v>6749</v>
      </c>
      <c r="W171" s="31"/>
      <c r="X171" s="36">
        <v>48718</v>
      </c>
      <c r="Y171" s="31"/>
      <c r="Z171" s="37">
        <v>-288824</v>
      </c>
      <c r="AA171" s="31"/>
      <c r="AB171" s="40">
        <f t="shared" si="7"/>
        <v>1641680.7600000203</v>
      </c>
      <c r="AC171" s="31"/>
      <c r="AD171" s="38"/>
      <c r="AE171" s="31"/>
      <c r="AF171" s="39"/>
      <c r="AG171" s="39"/>
      <c r="AH171" s="39">
        <v>365000</v>
      </c>
      <c r="AI171" s="39">
        <v>-1845226</v>
      </c>
      <c r="AJ171" s="31"/>
      <c r="AK171" s="40">
        <f t="shared" si="6"/>
        <v>-1480226</v>
      </c>
    </row>
    <row r="172" spans="1:37" s="2" customFormat="1" ht="23.25" customHeight="1">
      <c r="A172" s="51" t="s">
        <v>216</v>
      </c>
      <c r="B172" s="14" t="s">
        <v>217</v>
      </c>
      <c r="C172" s="29" t="s">
        <v>8</v>
      </c>
      <c r="D172" s="15" t="s">
        <v>420</v>
      </c>
      <c r="E172" s="46" t="s">
        <v>387</v>
      </c>
      <c r="F172" s="31">
        <v>81760.920000001788</v>
      </c>
      <c r="G172" s="31">
        <v>7778.5294134017549</v>
      </c>
      <c r="H172" s="31">
        <v>0</v>
      </c>
      <c r="I172" s="31">
        <v>13111</v>
      </c>
      <c r="J172" s="31">
        <v>42746</v>
      </c>
      <c r="K172" s="31"/>
      <c r="L172" s="31">
        <v>542517</v>
      </c>
      <c r="M172" s="31">
        <v>295540</v>
      </c>
      <c r="N172" s="31">
        <v>427336</v>
      </c>
      <c r="O172" s="31"/>
      <c r="P172" s="31">
        <v>418516</v>
      </c>
      <c r="Q172" s="31"/>
      <c r="R172" s="31">
        <v>156602</v>
      </c>
      <c r="S172" s="31">
        <v>740390</v>
      </c>
      <c r="T172" s="31">
        <v>88528.930284765884</v>
      </c>
      <c r="U172" s="31"/>
      <c r="V172" s="31">
        <v>188827</v>
      </c>
      <c r="W172" s="31"/>
      <c r="X172" s="31">
        <v>48718</v>
      </c>
      <c r="Y172" s="31"/>
      <c r="Z172" s="31">
        <v>-77976</v>
      </c>
      <c r="AA172" s="31"/>
      <c r="AB172" s="41">
        <f t="shared" si="7"/>
        <v>1358964.9200000018</v>
      </c>
      <c r="AC172" s="31"/>
      <c r="AD172" s="38"/>
      <c r="AE172" s="31"/>
      <c r="AF172" s="31"/>
      <c r="AG172" s="31"/>
      <c r="AH172" s="31">
        <v>200000</v>
      </c>
      <c r="AI172" s="31">
        <v>-691167</v>
      </c>
      <c r="AJ172" s="31"/>
      <c r="AK172" s="41">
        <f t="shared" si="6"/>
        <v>-491167</v>
      </c>
    </row>
    <row r="173" spans="1:37" s="2" customFormat="1" ht="23.25" customHeight="1">
      <c r="A173" s="51" t="s">
        <v>333</v>
      </c>
      <c r="B173" s="11" t="s">
        <v>334</v>
      </c>
      <c r="C173" s="28" t="s">
        <v>28</v>
      </c>
      <c r="D173" s="11" t="s">
        <v>420</v>
      </c>
      <c r="E173" s="46" t="s">
        <v>387</v>
      </c>
      <c r="F173" s="30">
        <v>0</v>
      </c>
      <c r="G173" s="31">
        <v>0</v>
      </c>
      <c r="H173" s="31">
        <v>0</v>
      </c>
      <c r="I173" s="31">
        <v>0</v>
      </c>
      <c r="J173" s="31">
        <v>0</v>
      </c>
      <c r="K173" s="32"/>
      <c r="L173" s="36">
        <v>0</v>
      </c>
      <c r="M173" s="31" t="s">
        <v>387</v>
      </c>
      <c r="N173" s="31">
        <v>0</v>
      </c>
      <c r="O173" s="31"/>
      <c r="P173" s="33"/>
      <c r="Q173" s="31"/>
      <c r="R173" s="35">
        <v>336</v>
      </c>
      <c r="S173" s="31">
        <v>5684</v>
      </c>
      <c r="T173" s="31">
        <v>0</v>
      </c>
      <c r="U173" s="31"/>
      <c r="V173" s="34">
        <v>0</v>
      </c>
      <c r="W173" s="31"/>
      <c r="X173" s="36">
        <v>0</v>
      </c>
      <c r="Y173" s="31"/>
      <c r="Z173" s="37">
        <v>-3660</v>
      </c>
      <c r="AA173" s="31"/>
      <c r="AB173" s="40">
        <f t="shared" si="7"/>
        <v>-3324</v>
      </c>
      <c r="AC173" s="31"/>
      <c r="AD173" s="38"/>
      <c r="AE173" s="31"/>
      <c r="AF173" s="39"/>
      <c r="AG173" s="39"/>
      <c r="AH173" s="39">
        <v>50000</v>
      </c>
      <c r="AI173" s="39">
        <v>-42812</v>
      </c>
      <c r="AJ173" s="31"/>
      <c r="AK173" s="40">
        <f t="shared" si="6"/>
        <v>7188</v>
      </c>
    </row>
    <row r="174" spans="1:37" s="2" customFormat="1" ht="23.25" customHeight="1">
      <c r="A174" s="51" t="s">
        <v>335</v>
      </c>
      <c r="B174" s="14" t="s">
        <v>336</v>
      </c>
      <c r="C174" s="29" t="s">
        <v>28</v>
      </c>
      <c r="D174" s="15" t="s">
        <v>420</v>
      </c>
      <c r="E174" s="46" t="s">
        <v>387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/>
      <c r="L174" s="31" t="s">
        <v>387</v>
      </c>
      <c r="M174" s="31" t="s">
        <v>387</v>
      </c>
      <c r="N174" s="31" t="s">
        <v>387</v>
      </c>
      <c r="O174" s="31"/>
      <c r="P174" s="31"/>
      <c r="Q174" s="31"/>
      <c r="R174" s="31" t="s">
        <v>387</v>
      </c>
      <c r="S174" s="31">
        <v>0</v>
      </c>
      <c r="T174" s="31">
        <v>0</v>
      </c>
      <c r="U174" s="31"/>
      <c r="V174" s="31" t="s">
        <v>387</v>
      </c>
      <c r="W174" s="31"/>
      <c r="X174" s="31">
        <v>0</v>
      </c>
      <c r="Y174" s="31"/>
      <c r="Z174" s="31" t="s">
        <v>387</v>
      </c>
      <c r="AA174" s="31"/>
      <c r="AB174" s="41">
        <f t="shared" si="7"/>
        <v>0</v>
      </c>
      <c r="AC174" s="31"/>
      <c r="AD174" s="38"/>
      <c r="AE174" s="31"/>
      <c r="AF174" s="31"/>
      <c r="AG174" s="31"/>
      <c r="AH174" s="31"/>
      <c r="AI174" s="31">
        <v>0</v>
      </c>
      <c r="AJ174" s="31"/>
      <c r="AK174" s="41">
        <f t="shared" si="6"/>
        <v>0</v>
      </c>
    </row>
    <row r="175" spans="1:37" s="2" customFormat="1" ht="23.25" customHeight="1">
      <c r="A175" s="51" t="s">
        <v>337</v>
      </c>
      <c r="B175" s="11" t="s">
        <v>338</v>
      </c>
      <c r="C175" s="28" t="s">
        <v>28</v>
      </c>
      <c r="D175" s="11" t="s">
        <v>420</v>
      </c>
      <c r="E175" s="46" t="s">
        <v>387</v>
      </c>
      <c r="F175" s="30">
        <v>54058.020000000019</v>
      </c>
      <c r="G175" s="31">
        <v>0</v>
      </c>
      <c r="H175" s="31">
        <v>0</v>
      </c>
      <c r="I175" s="31">
        <v>0</v>
      </c>
      <c r="J175" s="31">
        <v>0</v>
      </c>
      <c r="K175" s="32"/>
      <c r="L175" s="36">
        <v>0</v>
      </c>
      <c r="M175" s="31" t="s">
        <v>387</v>
      </c>
      <c r="N175" s="31">
        <v>0</v>
      </c>
      <c r="O175" s="31"/>
      <c r="P175" s="33"/>
      <c r="Q175" s="31"/>
      <c r="R175" s="35">
        <v>0</v>
      </c>
      <c r="S175" s="31">
        <v>0</v>
      </c>
      <c r="T175" s="31">
        <v>0</v>
      </c>
      <c r="U175" s="31"/>
      <c r="V175" s="34">
        <v>0</v>
      </c>
      <c r="W175" s="31"/>
      <c r="X175" s="36">
        <v>0</v>
      </c>
      <c r="Y175" s="31"/>
      <c r="Z175" s="37">
        <v>353824</v>
      </c>
      <c r="AA175" s="31"/>
      <c r="AB175" s="40">
        <f t="shared" si="7"/>
        <v>407882.02</v>
      </c>
      <c r="AC175" s="31"/>
      <c r="AD175" s="38"/>
      <c r="AE175" s="31"/>
      <c r="AF175" s="39"/>
      <c r="AG175" s="39"/>
      <c r="AH175" s="39"/>
      <c r="AI175" s="39">
        <v>0</v>
      </c>
      <c r="AJ175" s="31"/>
      <c r="AK175" s="40">
        <f t="shared" si="6"/>
        <v>0</v>
      </c>
    </row>
    <row r="176" spans="1:37" s="2" customFormat="1" ht="23.25" customHeight="1">
      <c r="A176" s="51" t="s">
        <v>339</v>
      </c>
      <c r="B176" s="14" t="s">
        <v>340</v>
      </c>
      <c r="C176" s="29" t="s">
        <v>28</v>
      </c>
      <c r="D176" s="15" t="s">
        <v>420</v>
      </c>
      <c r="E176" s="46" t="s">
        <v>387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/>
      <c r="L176" s="31" t="s">
        <v>387</v>
      </c>
      <c r="M176" s="31" t="s">
        <v>387</v>
      </c>
      <c r="N176" s="31" t="s">
        <v>387</v>
      </c>
      <c r="O176" s="31"/>
      <c r="P176" s="31"/>
      <c r="Q176" s="31"/>
      <c r="R176" s="31" t="s">
        <v>387</v>
      </c>
      <c r="S176" s="31">
        <v>0</v>
      </c>
      <c r="T176" s="31">
        <v>0</v>
      </c>
      <c r="U176" s="31"/>
      <c r="V176" s="31" t="s">
        <v>387</v>
      </c>
      <c r="W176" s="31"/>
      <c r="X176" s="31">
        <v>0</v>
      </c>
      <c r="Y176" s="31"/>
      <c r="Z176" s="31" t="s">
        <v>387</v>
      </c>
      <c r="AA176" s="31"/>
      <c r="AB176" s="41">
        <f t="shared" si="7"/>
        <v>0</v>
      </c>
      <c r="AC176" s="31"/>
      <c r="AD176" s="38"/>
      <c r="AE176" s="31"/>
      <c r="AF176" s="31"/>
      <c r="AG176" s="31"/>
      <c r="AH176" s="31"/>
      <c r="AI176" s="31">
        <v>0</v>
      </c>
      <c r="AJ176" s="31"/>
      <c r="AK176" s="41">
        <f t="shared" si="6"/>
        <v>0</v>
      </c>
    </row>
    <row r="177" spans="1:37" s="2" customFormat="1" ht="23.25" customHeight="1">
      <c r="A177" s="51" t="s">
        <v>341</v>
      </c>
      <c r="B177" s="11" t="s">
        <v>342</v>
      </c>
      <c r="C177" s="28" t="s">
        <v>28</v>
      </c>
      <c r="D177" s="11" t="s">
        <v>420</v>
      </c>
      <c r="E177" s="46" t="s">
        <v>387</v>
      </c>
      <c r="F177" s="30">
        <v>0</v>
      </c>
      <c r="G177" s="31">
        <v>0</v>
      </c>
      <c r="H177" s="31">
        <v>0</v>
      </c>
      <c r="I177" s="31">
        <v>0</v>
      </c>
      <c r="J177" s="31">
        <v>0</v>
      </c>
      <c r="K177" s="32"/>
      <c r="L177" s="36" t="s">
        <v>387</v>
      </c>
      <c r="M177" s="31" t="s">
        <v>387</v>
      </c>
      <c r="N177" s="31" t="s">
        <v>387</v>
      </c>
      <c r="O177" s="31"/>
      <c r="P177" s="33"/>
      <c r="Q177" s="31"/>
      <c r="R177" s="35" t="s">
        <v>387</v>
      </c>
      <c r="S177" s="31">
        <v>0</v>
      </c>
      <c r="T177" s="31">
        <v>0</v>
      </c>
      <c r="U177" s="31"/>
      <c r="V177" s="34" t="s">
        <v>387</v>
      </c>
      <c r="W177" s="31"/>
      <c r="X177" s="36">
        <v>0</v>
      </c>
      <c r="Y177" s="31"/>
      <c r="Z177" s="37" t="s">
        <v>387</v>
      </c>
      <c r="AA177" s="31"/>
      <c r="AB177" s="40">
        <f t="shared" si="7"/>
        <v>0</v>
      </c>
      <c r="AC177" s="31"/>
      <c r="AD177" s="38"/>
      <c r="AE177" s="31"/>
      <c r="AF177" s="39"/>
      <c r="AG177" s="39"/>
      <c r="AH177" s="39">
        <v>155000</v>
      </c>
      <c r="AI177" s="39">
        <v>-2050</v>
      </c>
      <c r="AJ177" s="31"/>
      <c r="AK177" s="40">
        <f t="shared" si="6"/>
        <v>152950</v>
      </c>
    </row>
    <row r="178" spans="1:37" s="2" customFormat="1" ht="23.25" customHeight="1">
      <c r="A178" s="51" t="s">
        <v>62</v>
      </c>
      <c r="B178" s="14" t="s">
        <v>63</v>
      </c>
      <c r="C178" s="29" t="s">
        <v>48</v>
      </c>
      <c r="D178" s="15" t="s">
        <v>421</v>
      </c>
      <c r="E178" s="46" t="s">
        <v>387</v>
      </c>
      <c r="F178" s="31">
        <v>0</v>
      </c>
      <c r="G178" s="31">
        <v>0</v>
      </c>
      <c r="H178" s="31">
        <v>0</v>
      </c>
      <c r="I178" s="31">
        <v>0</v>
      </c>
      <c r="J178" s="31">
        <v>0</v>
      </c>
      <c r="K178" s="31"/>
      <c r="L178" s="31">
        <v>0</v>
      </c>
      <c r="M178" s="31" t="s">
        <v>387</v>
      </c>
      <c r="N178" s="31" t="s">
        <v>387</v>
      </c>
      <c r="O178" s="31"/>
      <c r="P178" s="31"/>
      <c r="Q178" s="31"/>
      <c r="R178" s="31">
        <v>1461</v>
      </c>
      <c r="S178" s="31">
        <v>24007</v>
      </c>
      <c r="T178" s="31">
        <v>0</v>
      </c>
      <c r="U178" s="31"/>
      <c r="V178" s="31">
        <v>0</v>
      </c>
      <c r="W178" s="31"/>
      <c r="X178" s="31">
        <v>0</v>
      </c>
      <c r="Y178" s="31"/>
      <c r="Z178" s="31" t="s">
        <v>387</v>
      </c>
      <c r="AA178" s="31"/>
      <c r="AB178" s="41">
        <f t="shared" si="7"/>
        <v>1461</v>
      </c>
      <c r="AC178" s="31"/>
      <c r="AD178" s="38"/>
      <c r="AE178" s="31"/>
      <c r="AF178" s="31"/>
      <c r="AG178" s="31"/>
      <c r="AH178" s="31"/>
      <c r="AI178" s="31">
        <v>-8476</v>
      </c>
      <c r="AJ178" s="31"/>
      <c r="AK178" s="41">
        <f t="shared" si="6"/>
        <v>-8476</v>
      </c>
    </row>
    <row r="179" spans="1:37" s="2" customFormat="1" ht="23.25" customHeight="1">
      <c r="A179" s="51" t="s">
        <v>343</v>
      </c>
      <c r="B179" s="11" t="s">
        <v>344</v>
      </c>
      <c r="C179" s="28" t="s">
        <v>28</v>
      </c>
      <c r="D179" s="11" t="s">
        <v>421</v>
      </c>
      <c r="E179" s="46" t="s">
        <v>387</v>
      </c>
      <c r="F179" s="30">
        <v>18271.989999999991</v>
      </c>
      <c r="G179" s="31">
        <v>0</v>
      </c>
      <c r="H179" s="31">
        <v>0</v>
      </c>
      <c r="I179" s="31">
        <v>0</v>
      </c>
      <c r="J179" s="31">
        <v>0</v>
      </c>
      <c r="K179" s="32"/>
      <c r="L179" s="36">
        <v>0</v>
      </c>
      <c r="M179" s="31" t="s">
        <v>387</v>
      </c>
      <c r="N179" s="31" t="s">
        <v>387</v>
      </c>
      <c r="O179" s="31"/>
      <c r="P179" s="33"/>
      <c r="Q179" s="31"/>
      <c r="R179" s="35">
        <v>0</v>
      </c>
      <c r="S179" s="31">
        <v>5771</v>
      </c>
      <c r="T179" s="31">
        <v>0</v>
      </c>
      <c r="U179" s="31"/>
      <c r="V179" s="34">
        <v>0</v>
      </c>
      <c r="W179" s="31"/>
      <c r="X179" s="36">
        <v>0</v>
      </c>
      <c r="Y179" s="31"/>
      <c r="Z179" s="37" t="s">
        <v>387</v>
      </c>
      <c r="AA179" s="31"/>
      <c r="AB179" s="40">
        <f t="shared" si="7"/>
        <v>18271.989999999991</v>
      </c>
      <c r="AC179" s="31"/>
      <c r="AD179" s="38"/>
      <c r="AE179" s="31"/>
      <c r="AF179" s="39"/>
      <c r="AG179" s="39"/>
      <c r="AH179" s="39"/>
      <c r="AI179" s="39">
        <v>-3000</v>
      </c>
      <c r="AJ179" s="31"/>
      <c r="AK179" s="40">
        <f t="shared" si="6"/>
        <v>-3000</v>
      </c>
    </row>
    <row r="180" spans="1:37" s="2" customFormat="1" ht="23.25" customHeight="1">
      <c r="A180" s="51" t="s">
        <v>345</v>
      </c>
      <c r="B180" s="14" t="s">
        <v>346</v>
      </c>
      <c r="C180" s="29" t="s">
        <v>28</v>
      </c>
      <c r="D180" s="15" t="s">
        <v>421</v>
      </c>
      <c r="E180" s="46" t="s">
        <v>387</v>
      </c>
      <c r="F180" s="31">
        <v>0</v>
      </c>
      <c r="G180" s="31">
        <v>0</v>
      </c>
      <c r="H180" s="31">
        <v>0</v>
      </c>
      <c r="I180" s="31">
        <v>0</v>
      </c>
      <c r="J180" s="31">
        <v>0</v>
      </c>
      <c r="K180" s="31"/>
      <c r="L180" s="31">
        <v>0</v>
      </c>
      <c r="M180" s="31" t="s">
        <v>387</v>
      </c>
      <c r="N180" s="31" t="s">
        <v>387</v>
      </c>
      <c r="O180" s="31"/>
      <c r="P180" s="31"/>
      <c r="Q180" s="31"/>
      <c r="R180" s="31">
        <v>193</v>
      </c>
      <c r="S180" s="31">
        <v>3265</v>
      </c>
      <c r="T180" s="31">
        <v>0</v>
      </c>
      <c r="U180" s="31"/>
      <c r="V180" s="31">
        <v>0</v>
      </c>
      <c r="W180" s="31"/>
      <c r="X180" s="31">
        <v>0</v>
      </c>
      <c r="Y180" s="31"/>
      <c r="Z180" s="31" t="s">
        <v>387</v>
      </c>
      <c r="AA180" s="31"/>
      <c r="AB180" s="41">
        <f t="shared" si="7"/>
        <v>193</v>
      </c>
      <c r="AC180" s="31"/>
      <c r="AD180" s="38"/>
      <c r="AE180" s="31"/>
      <c r="AF180" s="31"/>
      <c r="AG180" s="31"/>
      <c r="AH180" s="31"/>
      <c r="AI180" s="31">
        <v>-45036</v>
      </c>
      <c r="AJ180" s="31"/>
      <c r="AK180" s="41">
        <f t="shared" si="6"/>
        <v>-45036</v>
      </c>
    </row>
    <row r="181" spans="1:37" s="2" customFormat="1" ht="23.25" customHeight="1">
      <c r="A181" s="51" t="s">
        <v>347</v>
      </c>
      <c r="B181" s="11" t="s">
        <v>348</v>
      </c>
      <c r="C181" s="28" t="s">
        <v>28</v>
      </c>
      <c r="D181" s="11" t="s">
        <v>421</v>
      </c>
      <c r="E181" s="46" t="s">
        <v>387</v>
      </c>
      <c r="F181" s="30">
        <v>0</v>
      </c>
      <c r="G181" s="31">
        <v>0</v>
      </c>
      <c r="H181" s="31">
        <v>0</v>
      </c>
      <c r="I181" s="31">
        <v>0</v>
      </c>
      <c r="J181" s="31">
        <v>0</v>
      </c>
      <c r="K181" s="32"/>
      <c r="L181" s="36" t="s">
        <v>387</v>
      </c>
      <c r="M181" s="31" t="s">
        <v>387</v>
      </c>
      <c r="N181" s="31" t="s">
        <v>387</v>
      </c>
      <c r="O181" s="31"/>
      <c r="P181" s="33"/>
      <c r="Q181" s="31"/>
      <c r="R181" s="35" t="s">
        <v>387</v>
      </c>
      <c r="S181" s="31">
        <v>1385</v>
      </c>
      <c r="T181" s="31">
        <v>0</v>
      </c>
      <c r="U181" s="31"/>
      <c r="V181" s="34" t="s">
        <v>387</v>
      </c>
      <c r="W181" s="31"/>
      <c r="X181" s="36">
        <v>0</v>
      </c>
      <c r="Y181" s="31"/>
      <c r="Z181" s="37" t="s">
        <v>387</v>
      </c>
      <c r="AA181" s="31"/>
      <c r="AB181" s="40">
        <f t="shared" si="7"/>
        <v>0</v>
      </c>
      <c r="AC181" s="31"/>
      <c r="AD181" s="38"/>
      <c r="AE181" s="31"/>
      <c r="AF181" s="39"/>
      <c r="AG181" s="39"/>
      <c r="AH181" s="39"/>
      <c r="AI181" s="39">
        <v>-273</v>
      </c>
      <c r="AJ181" s="31"/>
      <c r="AK181" s="40">
        <f t="shared" si="6"/>
        <v>-273</v>
      </c>
    </row>
    <row r="182" spans="1:37" s="2" customFormat="1" ht="23.25" customHeight="1">
      <c r="A182" s="51" t="s">
        <v>349</v>
      </c>
      <c r="B182" s="14" t="s">
        <v>350</v>
      </c>
      <c r="C182" s="29" t="s">
        <v>28</v>
      </c>
      <c r="D182" s="15" t="s">
        <v>421</v>
      </c>
      <c r="E182" s="46" t="s">
        <v>387</v>
      </c>
      <c r="F182" s="31">
        <v>0</v>
      </c>
      <c r="G182" s="31">
        <v>0</v>
      </c>
      <c r="H182" s="31">
        <v>0</v>
      </c>
      <c r="I182" s="31">
        <v>0</v>
      </c>
      <c r="J182" s="31">
        <v>0</v>
      </c>
      <c r="K182" s="31"/>
      <c r="L182" s="31">
        <v>0</v>
      </c>
      <c r="M182" s="31" t="s">
        <v>387</v>
      </c>
      <c r="N182" s="31" t="s">
        <v>387</v>
      </c>
      <c r="O182" s="31"/>
      <c r="P182" s="31"/>
      <c r="Q182" s="31"/>
      <c r="R182" s="31">
        <v>465</v>
      </c>
      <c r="S182" s="31">
        <v>7861</v>
      </c>
      <c r="T182" s="31">
        <v>0</v>
      </c>
      <c r="U182" s="31"/>
      <c r="V182" s="31">
        <v>0</v>
      </c>
      <c r="W182" s="31"/>
      <c r="X182" s="31">
        <v>0</v>
      </c>
      <c r="Y182" s="31"/>
      <c r="Z182" s="31" t="s">
        <v>387</v>
      </c>
      <c r="AA182" s="31"/>
      <c r="AB182" s="41">
        <f t="shared" si="7"/>
        <v>465</v>
      </c>
      <c r="AC182" s="31"/>
      <c r="AD182" s="38"/>
      <c r="AE182" s="31"/>
      <c r="AF182" s="31"/>
      <c r="AG182" s="31"/>
      <c r="AH182" s="31"/>
      <c r="AI182" s="31">
        <v>-14737</v>
      </c>
      <c r="AJ182" s="31"/>
      <c r="AK182" s="41">
        <f t="shared" si="6"/>
        <v>-14737</v>
      </c>
    </row>
    <row r="183" spans="1:37" s="2" customFormat="1" ht="23.25" customHeight="1">
      <c r="A183" s="51" t="s">
        <v>351</v>
      </c>
      <c r="B183" s="11" t="s">
        <v>352</v>
      </c>
      <c r="C183" s="28" t="s">
        <v>28</v>
      </c>
      <c r="D183" s="11" t="s">
        <v>421</v>
      </c>
      <c r="E183" s="46" t="s">
        <v>387</v>
      </c>
      <c r="F183" s="30">
        <v>0</v>
      </c>
      <c r="G183" s="31">
        <v>0</v>
      </c>
      <c r="H183" s="31">
        <v>0</v>
      </c>
      <c r="I183" s="31">
        <v>0</v>
      </c>
      <c r="J183" s="31">
        <v>0</v>
      </c>
      <c r="K183" s="32"/>
      <c r="L183" s="36">
        <v>0</v>
      </c>
      <c r="M183" s="31" t="s">
        <v>387</v>
      </c>
      <c r="N183" s="31" t="s">
        <v>387</v>
      </c>
      <c r="O183" s="31"/>
      <c r="P183" s="33"/>
      <c r="Q183" s="31"/>
      <c r="R183" s="35">
        <v>211</v>
      </c>
      <c r="S183" s="31">
        <v>3573</v>
      </c>
      <c r="T183" s="31">
        <v>0</v>
      </c>
      <c r="U183" s="31"/>
      <c r="V183" s="34">
        <v>0</v>
      </c>
      <c r="W183" s="31"/>
      <c r="X183" s="36">
        <v>0</v>
      </c>
      <c r="Y183" s="31"/>
      <c r="Z183" s="37" t="s">
        <v>387</v>
      </c>
      <c r="AA183" s="31"/>
      <c r="AB183" s="40">
        <f t="shared" si="7"/>
        <v>211</v>
      </c>
      <c r="AC183" s="31"/>
      <c r="AD183" s="38"/>
      <c r="AE183" s="31"/>
      <c r="AF183" s="39"/>
      <c r="AG183" s="39"/>
      <c r="AH183" s="39"/>
      <c r="AI183" s="39">
        <v>-4381</v>
      </c>
      <c r="AJ183" s="31"/>
      <c r="AK183" s="40">
        <f t="shared" si="6"/>
        <v>-4381</v>
      </c>
    </row>
    <row r="184" spans="1:37" s="2" customFormat="1" ht="23.25" customHeight="1">
      <c r="A184" s="51" t="s">
        <v>425</v>
      </c>
      <c r="B184" s="14" t="s">
        <v>353</v>
      </c>
      <c r="C184" s="29" t="s">
        <v>28</v>
      </c>
      <c r="D184" s="15" t="s">
        <v>421</v>
      </c>
      <c r="E184" s="46" t="s">
        <v>387</v>
      </c>
      <c r="F184" s="31">
        <v>0</v>
      </c>
      <c r="G184" s="31">
        <v>0</v>
      </c>
      <c r="H184" s="31">
        <v>0</v>
      </c>
      <c r="I184" s="31">
        <v>0</v>
      </c>
      <c r="J184" s="31">
        <v>0</v>
      </c>
      <c r="K184" s="31"/>
      <c r="L184" s="31">
        <v>0</v>
      </c>
      <c r="M184" s="31" t="s">
        <v>387</v>
      </c>
      <c r="N184" s="31" t="s">
        <v>387</v>
      </c>
      <c r="O184" s="31"/>
      <c r="P184" s="31"/>
      <c r="Q184" s="31"/>
      <c r="R184" s="31">
        <v>186</v>
      </c>
      <c r="S184" s="31">
        <v>3140</v>
      </c>
      <c r="T184" s="31">
        <v>0</v>
      </c>
      <c r="U184" s="31"/>
      <c r="V184" s="31">
        <v>0</v>
      </c>
      <c r="W184" s="31"/>
      <c r="X184" s="31">
        <v>0</v>
      </c>
      <c r="Y184" s="31"/>
      <c r="Z184" s="31" t="s">
        <v>387</v>
      </c>
      <c r="AA184" s="31"/>
      <c r="AB184" s="41">
        <f t="shared" si="7"/>
        <v>186</v>
      </c>
      <c r="AC184" s="31"/>
      <c r="AD184" s="38"/>
      <c r="AE184" s="31"/>
      <c r="AF184" s="31"/>
      <c r="AG184" s="31"/>
      <c r="AH184" s="31"/>
      <c r="AI184" s="31">
        <v>-17000</v>
      </c>
      <c r="AJ184" s="31"/>
      <c r="AK184" s="41">
        <f t="shared" si="6"/>
        <v>-17000</v>
      </c>
    </row>
    <row r="185" spans="1:37" s="2" customFormat="1" ht="23.25" customHeight="1">
      <c r="A185" s="51" t="s">
        <v>354</v>
      </c>
      <c r="B185" s="11" t="s">
        <v>355</v>
      </c>
      <c r="C185" s="28" t="s">
        <v>28</v>
      </c>
      <c r="D185" s="11" t="s">
        <v>421</v>
      </c>
      <c r="E185" s="46" t="s">
        <v>387</v>
      </c>
      <c r="F185" s="30">
        <v>0</v>
      </c>
      <c r="G185" s="31">
        <v>0</v>
      </c>
      <c r="H185" s="31">
        <v>0</v>
      </c>
      <c r="I185" s="31">
        <v>0</v>
      </c>
      <c r="J185" s="31">
        <v>0</v>
      </c>
      <c r="K185" s="32"/>
      <c r="L185" s="36" t="s">
        <v>387</v>
      </c>
      <c r="M185" s="31" t="s">
        <v>387</v>
      </c>
      <c r="N185" s="31" t="s">
        <v>387</v>
      </c>
      <c r="O185" s="31"/>
      <c r="P185" s="33"/>
      <c r="Q185" s="31"/>
      <c r="R185" s="35" t="s">
        <v>387</v>
      </c>
      <c r="S185" s="31">
        <v>2078</v>
      </c>
      <c r="T185" s="31">
        <v>0</v>
      </c>
      <c r="U185" s="31"/>
      <c r="V185" s="34" t="s">
        <v>387</v>
      </c>
      <c r="W185" s="31"/>
      <c r="X185" s="36">
        <v>0</v>
      </c>
      <c r="Y185" s="31"/>
      <c r="Z185" s="37" t="s">
        <v>387</v>
      </c>
      <c r="AA185" s="31"/>
      <c r="AB185" s="40">
        <f t="shared" si="7"/>
        <v>0</v>
      </c>
      <c r="AC185" s="31"/>
      <c r="AD185" s="38"/>
      <c r="AE185" s="31"/>
      <c r="AF185" s="39"/>
      <c r="AG185" s="39"/>
      <c r="AH185" s="39"/>
      <c r="AI185" s="39">
        <v>-813</v>
      </c>
      <c r="AJ185" s="31"/>
      <c r="AK185" s="40">
        <f t="shared" si="6"/>
        <v>-813</v>
      </c>
    </row>
    <row r="186" spans="1:37" s="2" customFormat="1" ht="23.25" customHeight="1">
      <c r="A186" s="51" t="s">
        <v>356</v>
      </c>
      <c r="B186" s="14" t="s">
        <v>357</v>
      </c>
      <c r="C186" s="29" t="s">
        <v>28</v>
      </c>
      <c r="D186" s="15" t="s">
        <v>421</v>
      </c>
      <c r="E186" s="46" t="s">
        <v>387</v>
      </c>
      <c r="F186" s="31">
        <v>0</v>
      </c>
      <c r="G186" s="31">
        <v>0</v>
      </c>
      <c r="H186" s="31">
        <v>0</v>
      </c>
      <c r="I186" s="31">
        <v>0</v>
      </c>
      <c r="J186" s="31">
        <v>0</v>
      </c>
      <c r="K186" s="31"/>
      <c r="L186" s="31" t="s">
        <v>387</v>
      </c>
      <c r="M186" s="31" t="s">
        <v>387</v>
      </c>
      <c r="N186" s="31" t="s">
        <v>387</v>
      </c>
      <c r="O186" s="31"/>
      <c r="P186" s="31"/>
      <c r="Q186" s="31"/>
      <c r="R186" s="31" t="s">
        <v>387</v>
      </c>
      <c r="S186" s="31">
        <v>462</v>
      </c>
      <c r="T186" s="31">
        <v>0</v>
      </c>
      <c r="U186" s="31"/>
      <c r="V186" s="31" t="s">
        <v>387</v>
      </c>
      <c r="W186" s="31"/>
      <c r="X186" s="31">
        <v>0</v>
      </c>
      <c r="Y186" s="31"/>
      <c r="Z186" s="31" t="s">
        <v>387</v>
      </c>
      <c r="AA186" s="31"/>
      <c r="AB186" s="41">
        <f t="shared" si="7"/>
        <v>0</v>
      </c>
      <c r="AC186" s="31"/>
      <c r="AD186" s="38"/>
      <c r="AE186" s="31"/>
      <c r="AF186" s="31"/>
      <c r="AG186" s="31"/>
      <c r="AH186" s="31"/>
      <c r="AI186" s="31">
        <v>0</v>
      </c>
      <c r="AJ186" s="31"/>
      <c r="AK186" s="41">
        <f t="shared" si="6"/>
        <v>0</v>
      </c>
    </row>
    <row r="187" spans="1:37" s="2" customFormat="1" ht="23.25" customHeight="1">
      <c r="A187" s="51" t="s">
        <v>358</v>
      </c>
      <c r="B187" s="11" t="s">
        <v>359</v>
      </c>
      <c r="C187" s="28" t="s">
        <v>28</v>
      </c>
      <c r="D187" s="11" t="s">
        <v>421</v>
      </c>
      <c r="E187" s="46" t="s">
        <v>387</v>
      </c>
      <c r="F187" s="30">
        <v>0</v>
      </c>
      <c r="G187" s="31">
        <v>0</v>
      </c>
      <c r="H187" s="31">
        <v>0</v>
      </c>
      <c r="I187" s="31">
        <v>0</v>
      </c>
      <c r="J187" s="31">
        <v>0</v>
      </c>
      <c r="K187" s="32"/>
      <c r="L187" s="36" t="s">
        <v>387</v>
      </c>
      <c r="M187" s="31" t="s">
        <v>387</v>
      </c>
      <c r="N187" s="31" t="s">
        <v>387</v>
      </c>
      <c r="O187" s="31"/>
      <c r="P187" s="33"/>
      <c r="Q187" s="31"/>
      <c r="R187" s="35" t="s">
        <v>387</v>
      </c>
      <c r="S187" s="31">
        <v>2309</v>
      </c>
      <c r="T187" s="31">
        <v>0</v>
      </c>
      <c r="U187" s="31"/>
      <c r="V187" s="34" t="s">
        <v>387</v>
      </c>
      <c r="W187" s="31"/>
      <c r="X187" s="36">
        <v>0</v>
      </c>
      <c r="Y187" s="31"/>
      <c r="Z187" s="37" t="s">
        <v>387</v>
      </c>
      <c r="AA187" s="31"/>
      <c r="AB187" s="40">
        <f t="shared" si="7"/>
        <v>0</v>
      </c>
      <c r="AC187" s="31"/>
      <c r="AD187" s="38"/>
      <c r="AE187" s="31"/>
      <c r="AF187" s="39"/>
      <c r="AG187" s="39"/>
      <c r="AH187" s="39"/>
      <c r="AI187" s="39">
        <v>-682</v>
      </c>
      <c r="AJ187" s="31"/>
      <c r="AK187" s="40">
        <f t="shared" si="6"/>
        <v>-682</v>
      </c>
    </row>
    <row r="188" spans="1:37" s="2" customFormat="1" ht="23.25" customHeight="1">
      <c r="A188" s="51" t="s">
        <v>360</v>
      </c>
      <c r="B188" s="14" t="s">
        <v>361</v>
      </c>
      <c r="C188" s="29" t="s">
        <v>28</v>
      </c>
      <c r="D188" s="15" t="s">
        <v>421</v>
      </c>
      <c r="E188" s="46" t="s">
        <v>387</v>
      </c>
      <c r="F188" s="31">
        <v>0</v>
      </c>
      <c r="G188" s="31">
        <v>0</v>
      </c>
      <c r="H188" s="31">
        <v>0</v>
      </c>
      <c r="I188" s="31">
        <v>0</v>
      </c>
      <c r="J188" s="31">
        <v>0</v>
      </c>
      <c r="K188" s="31"/>
      <c r="L188" s="31" t="s">
        <v>387</v>
      </c>
      <c r="M188" s="31" t="s">
        <v>387</v>
      </c>
      <c r="N188" s="31" t="s">
        <v>387</v>
      </c>
      <c r="O188" s="31"/>
      <c r="P188" s="31"/>
      <c r="Q188" s="31"/>
      <c r="R188" s="31" t="s">
        <v>387</v>
      </c>
      <c r="S188" s="31">
        <v>3001</v>
      </c>
      <c r="T188" s="31">
        <v>0</v>
      </c>
      <c r="U188" s="31"/>
      <c r="V188" s="31" t="s">
        <v>387</v>
      </c>
      <c r="W188" s="31"/>
      <c r="X188" s="31">
        <v>0</v>
      </c>
      <c r="Y188" s="31"/>
      <c r="Z188" s="31" t="s">
        <v>387</v>
      </c>
      <c r="AA188" s="31"/>
      <c r="AB188" s="41">
        <f t="shared" si="7"/>
        <v>0</v>
      </c>
      <c r="AC188" s="31"/>
      <c r="AD188" s="38"/>
      <c r="AE188" s="31"/>
      <c r="AF188" s="31"/>
      <c r="AG188" s="31"/>
      <c r="AH188" s="31"/>
      <c r="AI188" s="31">
        <v>-1627</v>
      </c>
      <c r="AJ188" s="31"/>
      <c r="AK188" s="41">
        <f t="shared" si="6"/>
        <v>-1627</v>
      </c>
    </row>
    <row r="189" spans="1:37" s="2" customFormat="1" ht="23.25" customHeight="1">
      <c r="A189" s="51" t="s">
        <v>362</v>
      </c>
      <c r="B189" s="11" t="s">
        <v>363</v>
      </c>
      <c r="C189" s="28" t="s">
        <v>28</v>
      </c>
      <c r="D189" s="11" t="s">
        <v>421</v>
      </c>
      <c r="E189" s="46" t="s">
        <v>387</v>
      </c>
      <c r="F189" s="30">
        <v>0</v>
      </c>
      <c r="G189" s="31">
        <v>0</v>
      </c>
      <c r="H189" s="31">
        <v>0</v>
      </c>
      <c r="I189" s="31">
        <v>0</v>
      </c>
      <c r="J189" s="31">
        <v>0</v>
      </c>
      <c r="K189" s="32"/>
      <c r="L189" s="36" t="s">
        <v>387</v>
      </c>
      <c r="M189" s="31" t="s">
        <v>387</v>
      </c>
      <c r="N189" s="31" t="s">
        <v>387</v>
      </c>
      <c r="O189" s="31"/>
      <c r="P189" s="33"/>
      <c r="Q189" s="31"/>
      <c r="R189" s="35" t="s">
        <v>387</v>
      </c>
      <c r="S189" s="31">
        <v>3001</v>
      </c>
      <c r="T189" s="31">
        <v>0</v>
      </c>
      <c r="U189" s="31"/>
      <c r="V189" s="34" t="s">
        <v>387</v>
      </c>
      <c r="W189" s="31"/>
      <c r="X189" s="36">
        <v>0</v>
      </c>
      <c r="Y189" s="31"/>
      <c r="Z189" s="37" t="s">
        <v>387</v>
      </c>
      <c r="AA189" s="31"/>
      <c r="AB189" s="40">
        <f t="shared" si="7"/>
        <v>0</v>
      </c>
      <c r="AC189" s="31"/>
      <c r="AD189" s="38"/>
      <c r="AE189" s="31"/>
      <c r="AF189" s="39"/>
      <c r="AG189" s="39"/>
      <c r="AH189" s="39"/>
      <c r="AI189" s="39">
        <v>-409</v>
      </c>
      <c r="AJ189" s="31"/>
      <c r="AK189" s="40">
        <f t="shared" si="6"/>
        <v>-409</v>
      </c>
    </row>
    <row r="190" spans="1:37" s="2" customFormat="1" ht="23.25" customHeight="1">
      <c r="A190" s="51" t="s">
        <v>364</v>
      </c>
      <c r="B190" s="14" t="s">
        <v>365</v>
      </c>
      <c r="C190" s="29" t="s">
        <v>28</v>
      </c>
      <c r="D190" s="15" t="s">
        <v>421</v>
      </c>
      <c r="E190" s="46" t="s">
        <v>387</v>
      </c>
      <c r="F190" s="31">
        <v>0</v>
      </c>
      <c r="G190" s="31">
        <v>0</v>
      </c>
      <c r="H190" s="31">
        <v>0</v>
      </c>
      <c r="I190" s="31">
        <v>0</v>
      </c>
      <c r="J190" s="31">
        <v>0</v>
      </c>
      <c r="K190" s="31"/>
      <c r="L190" s="31" t="s">
        <v>387</v>
      </c>
      <c r="M190" s="31" t="s">
        <v>387</v>
      </c>
      <c r="N190" s="31" t="s">
        <v>387</v>
      </c>
      <c r="O190" s="31"/>
      <c r="P190" s="31"/>
      <c r="Q190" s="31"/>
      <c r="R190" s="31" t="s">
        <v>387</v>
      </c>
      <c r="S190" s="31">
        <v>0</v>
      </c>
      <c r="T190" s="31">
        <v>0</v>
      </c>
      <c r="U190" s="31"/>
      <c r="V190" s="31" t="s">
        <v>387</v>
      </c>
      <c r="W190" s="31"/>
      <c r="X190" s="31">
        <v>0</v>
      </c>
      <c r="Y190" s="31"/>
      <c r="Z190" s="31" t="s">
        <v>387</v>
      </c>
      <c r="AA190" s="31"/>
      <c r="AB190" s="41">
        <f t="shared" si="7"/>
        <v>0</v>
      </c>
      <c r="AC190" s="31"/>
      <c r="AD190" s="38"/>
      <c r="AE190" s="31"/>
      <c r="AF190" s="31"/>
      <c r="AG190" s="31"/>
      <c r="AH190" s="31">
        <v>100000</v>
      </c>
      <c r="AI190" s="31">
        <v>-9378</v>
      </c>
      <c r="AJ190" s="31"/>
      <c r="AK190" s="41">
        <f t="shared" si="6"/>
        <v>90622</v>
      </c>
    </row>
    <row r="191" spans="1:37" s="2" customFormat="1" ht="23.25" customHeight="1">
      <c r="A191" s="51" t="s">
        <v>366</v>
      </c>
      <c r="B191" s="11" t="s">
        <v>367</v>
      </c>
      <c r="C191" s="28" t="s">
        <v>28</v>
      </c>
      <c r="D191" s="11" t="s">
        <v>421</v>
      </c>
      <c r="E191" s="46" t="s">
        <v>387</v>
      </c>
      <c r="F191" s="30">
        <v>0</v>
      </c>
      <c r="G191" s="31">
        <v>0</v>
      </c>
      <c r="H191" s="31">
        <v>0</v>
      </c>
      <c r="I191" s="31">
        <v>0</v>
      </c>
      <c r="J191" s="31">
        <v>0</v>
      </c>
      <c r="K191" s="32"/>
      <c r="L191" s="36" t="s">
        <v>387</v>
      </c>
      <c r="M191" s="31" t="s">
        <v>387</v>
      </c>
      <c r="N191" s="31" t="s">
        <v>387</v>
      </c>
      <c r="O191" s="31"/>
      <c r="P191" s="33"/>
      <c r="Q191" s="31"/>
      <c r="R191" s="35" t="s">
        <v>387</v>
      </c>
      <c r="S191" s="31">
        <v>0</v>
      </c>
      <c r="T191" s="31">
        <v>0</v>
      </c>
      <c r="U191" s="31"/>
      <c r="V191" s="34" t="s">
        <v>387</v>
      </c>
      <c r="W191" s="31"/>
      <c r="X191" s="36">
        <v>0</v>
      </c>
      <c r="Y191" s="31"/>
      <c r="Z191" s="37" t="s">
        <v>387</v>
      </c>
      <c r="AA191" s="31"/>
      <c r="AB191" s="40">
        <f t="shared" si="7"/>
        <v>0</v>
      </c>
      <c r="AC191" s="31"/>
      <c r="AD191" s="38"/>
      <c r="AE191" s="31"/>
      <c r="AF191" s="39"/>
      <c r="AG191" s="39"/>
      <c r="AH191" s="39"/>
      <c r="AI191" s="39"/>
      <c r="AJ191" s="31"/>
      <c r="AK191" s="40">
        <f t="shared" si="6"/>
        <v>0</v>
      </c>
    </row>
    <row r="192" spans="1:37" s="2" customFormat="1" ht="23.25" customHeight="1">
      <c r="A192" s="51"/>
      <c r="B192" s="14"/>
      <c r="C192" s="29"/>
      <c r="D192" s="15"/>
      <c r="E192" s="46" t="s">
        <v>387</v>
      </c>
      <c r="F192" s="31">
        <v>0</v>
      </c>
      <c r="G192" s="31"/>
      <c r="H192" s="31"/>
      <c r="I192" s="31"/>
      <c r="J192" s="31"/>
      <c r="K192" s="31"/>
      <c r="L192" s="31" t="s">
        <v>387</v>
      </c>
      <c r="M192" s="31"/>
      <c r="N192" s="31"/>
      <c r="O192" s="31"/>
      <c r="P192" s="31"/>
      <c r="Q192" s="31"/>
      <c r="R192" s="31" t="s">
        <v>387</v>
      </c>
      <c r="S192" s="31"/>
      <c r="T192" s="31"/>
      <c r="U192" s="31"/>
      <c r="V192" s="31" t="s">
        <v>387</v>
      </c>
      <c r="W192" s="31"/>
      <c r="X192" s="31">
        <v>0</v>
      </c>
      <c r="Y192" s="31"/>
      <c r="Z192" s="31" t="s">
        <v>387</v>
      </c>
      <c r="AA192" s="31"/>
      <c r="AB192" s="41">
        <f t="shared" si="7"/>
        <v>0</v>
      </c>
      <c r="AC192" s="31"/>
      <c r="AD192" s="38"/>
      <c r="AE192" s="31"/>
      <c r="AF192" s="31"/>
      <c r="AG192" s="31"/>
      <c r="AH192" s="31"/>
      <c r="AI192" s="31"/>
      <c r="AJ192" s="31"/>
      <c r="AK192" s="41">
        <f>SUM(AF192:AI192)</f>
        <v>0</v>
      </c>
    </row>
    <row r="193" spans="1:37" s="2" customFormat="1" ht="23.25" customHeight="1">
      <c r="A193" s="51"/>
      <c r="B193" s="11" t="s">
        <v>427</v>
      </c>
      <c r="C193" s="28" t="s">
        <v>28</v>
      </c>
      <c r="D193" s="11" t="s">
        <v>428</v>
      </c>
      <c r="E193" s="46" t="s">
        <v>387</v>
      </c>
      <c r="F193" s="30">
        <v>0</v>
      </c>
      <c r="G193" s="31"/>
      <c r="H193" s="31"/>
      <c r="I193" s="31"/>
      <c r="J193" s="31"/>
      <c r="K193" s="32"/>
      <c r="L193" s="36" t="s">
        <v>387</v>
      </c>
      <c r="M193" s="31"/>
      <c r="N193" s="31"/>
      <c r="O193" s="31"/>
      <c r="P193" s="33"/>
      <c r="Q193" s="31"/>
      <c r="R193" s="35" t="s">
        <v>387</v>
      </c>
      <c r="S193" s="31"/>
      <c r="T193" s="31"/>
      <c r="U193" s="31"/>
      <c r="V193" s="34" t="s">
        <v>387</v>
      </c>
      <c r="W193" s="31"/>
      <c r="X193" s="36">
        <v>0</v>
      </c>
      <c r="Y193" s="31"/>
      <c r="Z193" s="37" t="s">
        <v>387</v>
      </c>
      <c r="AA193" s="31"/>
      <c r="AB193" s="40">
        <f t="shared" si="7"/>
        <v>0</v>
      </c>
      <c r="AC193" s="31"/>
      <c r="AD193" s="38"/>
      <c r="AE193" s="31"/>
      <c r="AF193" s="39"/>
      <c r="AG193" s="39"/>
      <c r="AH193" s="39">
        <v>750000</v>
      </c>
      <c r="AI193" s="39">
        <v>-116392</v>
      </c>
      <c r="AJ193" s="31"/>
      <c r="AK193" s="40">
        <v>2005933</v>
      </c>
    </row>
    <row r="194" spans="1:37" s="2" customFormat="1" ht="6.75" customHeight="1">
      <c r="A194" s="51"/>
      <c r="B194" s="8"/>
      <c r="C194" s="8"/>
      <c r="D194" s="8"/>
      <c r="E194" s="46" t="s">
        <v>387</v>
      </c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8"/>
      <c r="AE194" s="31"/>
      <c r="AF194" s="31"/>
      <c r="AG194" s="31"/>
      <c r="AH194" s="31"/>
      <c r="AI194" s="31"/>
      <c r="AJ194" s="31"/>
      <c r="AK194" s="41"/>
    </row>
    <row r="195" spans="1:37" s="2" customFormat="1" ht="23.25" customHeight="1">
      <c r="A195" s="52"/>
      <c r="B195" s="10"/>
      <c r="C195" s="10"/>
      <c r="D195" s="24" t="s">
        <v>382</v>
      </c>
      <c r="E195" s="46" t="s">
        <v>387</v>
      </c>
      <c r="F195" s="42">
        <f>SUM(F9:F193)</f>
        <v>-2662449.9300000696</v>
      </c>
      <c r="G195" s="43">
        <f>SUM(G9:G191)</f>
        <v>892493.15097723564</v>
      </c>
      <c r="H195" s="43">
        <f>SUM(H9:H191)</f>
        <v>-300549.20876165648</v>
      </c>
      <c r="I195" s="43">
        <f>SUM(I9:I191)</f>
        <v>-6095332</v>
      </c>
      <c r="J195" s="43">
        <f>SUM(J9:J191)</f>
        <v>11817441.09944826</v>
      </c>
      <c r="K195" s="43"/>
      <c r="L195" s="42">
        <v>50000000</v>
      </c>
      <c r="M195" s="43">
        <f>SUM(M9:M191)</f>
        <v>19409760</v>
      </c>
      <c r="N195" s="43">
        <f>SUM(N9:N191)</f>
        <v>18878678</v>
      </c>
      <c r="O195" s="43"/>
      <c r="P195" s="42">
        <f>SUM(P9:P193)</f>
        <v>22281416</v>
      </c>
      <c r="Q195" s="43"/>
      <c r="R195" s="42">
        <f>SUM(R9:R193)</f>
        <v>16574852</v>
      </c>
      <c r="S195" s="43">
        <f>SUM(S9:S191)</f>
        <v>81247108</v>
      </c>
      <c r="T195" s="43">
        <f>SUM(T9:T191)</f>
        <v>15857302.21371056</v>
      </c>
      <c r="U195" s="43"/>
      <c r="V195" s="42">
        <f>SUM(V9:V193)</f>
        <v>7399625</v>
      </c>
      <c r="W195" s="44"/>
      <c r="X195" s="42">
        <f>SUM(X9:X193)</f>
        <v>1948720</v>
      </c>
      <c r="Y195" s="44"/>
      <c r="Z195" s="42">
        <f>SUM(Z9:Z193)</f>
        <v>7564608</v>
      </c>
      <c r="AA195" s="44"/>
      <c r="AB195" s="42">
        <f>SUM(AB9:AB193)</f>
        <v>103106767.06999992</v>
      </c>
      <c r="AC195" s="31"/>
      <c r="AD195" s="45"/>
      <c r="AE195" s="45"/>
      <c r="AF195" s="42">
        <f t="shared" ref="AF195:AK195" si="8">SUM(AF9:AF193)</f>
        <v>0</v>
      </c>
      <c r="AG195" s="42">
        <f t="shared" si="8"/>
        <v>0</v>
      </c>
      <c r="AH195" s="42">
        <f t="shared" si="8"/>
        <v>20210000</v>
      </c>
      <c r="AI195" s="42">
        <f t="shared" si="8"/>
        <v>-64533741</v>
      </c>
      <c r="AJ195" s="31">
        <f t="shared" si="8"/>
        <v>0</v>
      </c>
      <c r="AK195" s="42">
        <f t="shared" si="8"/>
        <v>192415024</v>
      </c>
    </row>
    <row r="196" spans="1:37" ht="26">
      <c r="E196" s="46" t="s">
        <v>387</v>
      </c>
      <c r="AF196" s="27"/>
      <c r="AG196" s="27"/>
      <c r="AH196" s="27"/>
      <c r="AI196" s="27"/>
      <c r="AJ196" s="27">
        <v>12185972164</v>
      </c>
    </row>
    <row r="197" spans="1:37" ht="81.75" customHeight="1">
      <c r="B197" s="148"/>
      <c r="C197" s="148"/>
      <c r="D197" s="148"/>
      <c r="E197" s="148"/>
      <c r="F197" s="148"/>
      <c r="G197" s="148"/>
      <c r="H197" s="148"/>
      <c r="I197" s="148"/>
      <c r="J197" s="148"/>
      <c r="K197" s="148"/>
      <c r="L197" s="148"/>
      <c r="M197" s="148"/>
      <c r="N197" s="148"/>
      <c r="O197" s="148"/>
      <c r="P197" s="148"/>
      <c r="Q197" s="148"/>
      <c r="R197" s="148"/>
      <c r="S197" s="148"/>
      <c r="T197" s="148"/>
      <c r="U197" s="148"/>
      <c r="V197" s="148"/>
      <c r="W197" s="148"/>
      <c r="X197" s="148"/>
      <c r="Y197" s="148"/>
      <c r="Z197" s="148"/>
      <c r="AA197" s="148"/>
      <c r="AB197" s="148"/>
    </row>
    <row r="198" spans="1:37" ht="19">
      <c r="E198" s="46" t="s">
        <v>387</v>
      </c>
    </row>
    <row r="199" spans="1:37" ht="19">
      <c r="A199" s="49">
        <v>1</v>
      </c>
      <c r="B199" s="1">
        <v>2</v>
      </c>
      <c r="E199" s="46" t="s">
        <v>387</v>
      </c>
    </row>
    <row r="200" spans="1:37" ht="19">
      <c r="E200" s="46" t="s">
        <v>387</v>
      </c>
    </row>
    <row r="201" spans="1:37" ht="19">
      <c r="E201" s="46" t="s">
        <v>387</v>
      </c>
    </row>
    <row r="202" spans="1:37" ht="19">
      <c r="E202" s="46" t="s">
        <v>387</v>
      </c>
    </row>
    <row r="203" spans="1:37" ht="19">
      <c r="E203" s="46" t="s">
        <v>387</v>
      </c>
    </row>
    <row r="204" spans="1:37" ht="19">
      <c r="E204" s="46" t="s">
        <v>387</v>
      </c>
    </row>
    <row r="205" spans="1:37" ht="19">
      <c r="E205" s="46" t="s">
        <v>387</v>
      </c>
    </row>
    <row r="206" spans="1:37" ht="19">
      <c r="E206" s="46" t="s">
        <v>387</v>
      </c>
    </row>
    <row r="207" spans="1:37" ht="19">
      <c r="E207" s="46" t="s">
        <v>387</v>
      </c>
    </row>
    <row r="208" spans="1:37" ht="19">
      <c r="E208" s="46" t="s">
        <v>387</v>
      </c>
    </row>
    <row r="209" spans="5:5" ht="19">
      <c r="E209" s="46" t="s">
        <v>387</v>
      </c>
    </row>
    <row r="210" spans="5:5" ht="19">
      <c r="E210" s="46" t="s">
        <v>387</v>
      </c>
    </row>
    <row r="211" spans="5:5" ht="19">
      <c r="E211" s="46" t="s">
        <v>387</v>
      </c>
    </row>
  </sheetData>
  <autoFilter ref="A8:AK191" xr:uid="{00000000-0009-0000-0000-000000000000}"/>
  <sortState xmlns:xlrd2="http://schemas.microsoft.com/office/spreadsheetml/2017/richdata2" ref="A7:D7">
    <sortCondition ref="D7"/>
  </sortState>
  <mergeCells count="17">
    <mergeCell ref="B197:AB197"/>
    <mergeCell ref="F6:F7"/>
    <mergeCell ref="L6:L7"/>
    <mergeCell ref="P6:P7"/>
    <mergeCell ref="R6:R7"/>
    <mergeCell ref="V6:V7"/>
    <mergeCell ref="AB6:AB7"/>
    <mergeCell ref="X6:X7"/>
    <mergeCell ref="Z6:Z7"/>
    <mergeCell ref="AF4:AK4"/>
    <mergeCell ref="AH6:AH7"/>
    <mergeCell ref="B4:D4"/>
    <mergeCell ref="F4:AB4"/>
    <mergeCell ref="AF6:AF7"/>
    <mergeCell ref="AG6:AG7"/>
    <mergeCell ref="AI6:AI7"/>
    <mergeCell ref="AK6:AK7"/>
  </mergeCells>
  <pageMargins left="0.70866141732283472" right="0.70866141732283472" top="0.74803149606299213" bottom="0.39370078740157483" header="0.31496062992125984" footer="0.31496062992125984"/>
  <pageSetup paperSize="8" scale="41" fitToHeight="0" orientation="landscape" r:id="rId1"/>
  <headerFooter>
    <oddFooter>&amp;LDGESIP B2-2&amp;CCNESER - 14 décembre 2017&amp;R04-12-2017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I199"/>
  <sheetViews>
    <sheetView showZeros="0" view="pageBreakPreview" topLeftCell="B1" zoomScale="55" zoomScaleNormal="70" zoomScaleSheetLayoutView="55" workbookViewId="0">
      <pane ySplit="7" topLeftCell="A166" activePane="bottomLeft" state="frozen"/>
      <selection activeCell="B1" sqref="B1"/>
      <selection pane="bottomLeft" activeCell="P6" sqref="P6:P193"/>
    </sheetView>
  </sheetViews>
  <sheetFormatPr baseColWidth="10" defaultColWidth="11.5" defaultRowHeight="15" outlineLevelCol="1"/>
  <cols>
    <col min="1" max="1" width="24.6640625" style="1" customWidth="1" outlineLevel="1"/>
    <col min="2" max="2" width="41.5" style="1" customWidth="1"/>
    <col min="3" max="3" width="14.5" style="1" customWidth="1"/>
    <col min="4" max="4" width="23.5" style="1" customWidth="1"/>
    <col min="5" max="5" width="1.5" style="1" customWidth="1"/>
    <col min="6" max="6" width="28.5" style="1" customWidth="1"/>
    <col min="7" max="10" width="11.5" style="1" hidden="1" customWidth="1"/>
    <col min="11" max="11" width="3.5" style="1" customWidth="1"/>
    <col min="12" max="12" width="28.6640625" style="1" customWidth="1"/>
    <col min="13" max="14" width="11.5" style="1" hidden="1" customWidth="1"/>
    <col min="15" max="15" width="1.5" style="1" customWidth="1"/>
    <col min="16" max="16" width="28.5" style="1" customWidth="1"/>
    <col min="17" max="17" width="1.5" style="1" customWidth="1"/>
    <col min="18" max="18" width="28.5" style="1" customWidth="1"/>
    <col min="19" max="20" width="11.5" style="1" hidden="1" customWidth="1"/>
    <col min="21" max="21" width="1.5" style="1" customWidth="1"/>
    <col min="22" max="22" width="28.5" style="1" customWidth="1"/>
    <col min="23" max="23" width="1.5" style="1" customWidth="1"/>
    <col min="24" max="24" width="28.5" style="1" customWidth="1"/>
    <col min="25" max="25" width="1.5" style="1" customWidth="1"/>
    <col min="26" max="26" width="28.5" style="1" customWidth="1"/>
    <col min="27" max="28" width="1.5" style="1" customWidth="1"/>
    <col min="29" max="29" width="3.33203125" style="1" customWidth="1"/>
    <col min="30" max="33" width="31.83203125" style="1" customWidth="1"/>
    <col min="34" max="34" width="1.5" style="1" customWidth="1"/>
    <col min="35" max="35" width="31.83203125" style="25" customWidth="1"/>
    <col min="36" max="36" width="11.5" style="1" customWidth="1"/>
    <col min="37" max="16384" width="11.5" style="1"/>
  </cols>
  <sheetData>
    <row r="2" spans="1:35" ht="26">
      <c r="B2" s="3" t="s">
        <v>444</v>
      </c>
    </row>
    <row r="4" spans="1:35" ht="51.75" customHeight="1">
      <c r="B4" s="144" t="s">
        <v>445</v>
      </c>
      <c r="C4" s="144"/>
      <c r="D4" s="144"/>
      <c r="F4" s="142" t="s">
        <v>430</v>
      </c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7"/>
      <c r="AB4" s="17"/>
      <c r="AC4" s="17"/>
      <c r="AD4" s="142" t="s">
        <v>431</v>
      </c>
      <c r="AE4" s="142"/>
      <c r="AF4" s="142"/>
      <c r="AG4" s="142"/>
      <c r="AH4" s="142"/>
      <c r="AI4" s="142"/>
    </row>
    <row r="5" spans="1:35" ht="7.5" customHeight="1"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8"/>
      <c r="AC5" s="18"/>
      <c r="AD5" s="17"/>
      <c r="AE5" s="17"/>
      <c r="AF5" s="17"/>
      <c r="AG5" s="17"/>
      <c r="AH5" s="17"/>
      <c r="AI5" s="26"/>
    </row>
    <row r="6" spans="1:35" ht="50.25" customHeight="1">
      <c r="F6" s="149" t="s">
        <v>448</v>
      </c>
      <c r="G6" s="12"/>
      <c r="H6" s="12"/>
      <c r="I6" s="12"/>
      <c r="J6" s="12"/>
      <c r="K6" s="12"/>
      <c r="L6" s="151" t="s">
        <v>432</v>
      </c>
      <c r="M6" s="12"/>
      <c r="N6" s="12"/>
      <c r="O6" s="12"/>
      <c r="P6" s="154" t="s">
        <v>385</v>
      </c>
      <c r="Q6" s="12"/>
      <c r="R6" s="153" t="s">
        <v>378</v>
      </c>
      <c r="S6" s="12"/>
      <c r="T6" s="12"/>
      <c r="U6" s="12"/>
      <c r="V6" s="150" t="s">
        <v>433</v>
      </c>
      <c r="W6" s="12"/>
      <c r="X6" s="156" t="s">
        <v>424</v>
      </c>
      <c r="Y6" s="12"/>
      <c r="Z6" s="156" t="s">
        <v>437</v>
      </c>
      <c r="AA6" s="12"/>
      <c r="AB6" s="13"/>
      <c r="AC6" s="12"/>
      <c r="AD6" s="145" t="s">
        <v>383</v>
      </c>
      <c r="AE6" s="145" t="s">
        <v>384</v>
      </c>
      <c r="AF6" s="143" t="s">
        <v>429</v>
      </c>
      <c r="AG6" s="146" t="s">
        <v>436</v>
      </c>
      <c r="AH6" s="12"/>
      <c r="AI6" s="145" t="s">
        <v>426</v>
      </c>
    </row>
    <row r="7" spans="1:35" s="2" customFormat="1" ht="81.75" customHeight="1">
      <c r="A7" s="4" t="s">
        <v>368</v>
      </c>
      <c r="B7" s="5" t="s">
        <v>369</v>
      </c>
      <c r="C7" s="5" t="s">
        <v>370</v>
      </c>
      <c r="D7" s="5" t="s">
        <v>372</v>
      </c>
      <c r="F7" s="149"/>
      <c r="G7" s="12" t="s">
        <v>373</v>
      </c>
      <c r="H7" s="12" t="s">
        <v>374</v>
      </c>
      <c r="I7" s="12" t="s">
        <v>375</v>
      </c>
      <c r="J7" s="12" t="s">
        <v>376</v>
      </c>
      <c r="K7" s="12"/>
      <c r="L7" s="152"/>
      <c r="M7" s="12" t="s">
        <v>377</v>
      </c>
      <c r="N7" s="12"/>
      <c r="O7" s="12"/>
      <c r="P7" s="154"/>
      <c r="Q7" s="12"/>
      <c r="R7" s="153"/>
      <c r="S7" s="16" t="s">
        <v>379</v>
      </c>
      <c r="T7" s="16" t="s">
        <v>380</v>
      </c>
      <c r="U7" s="12"/>
      <c r="V7" s="150"/>
      <c r="W7" s="12"/>
      <c r="X7" s="156"/>
      <c r="Y7" s="12"/>
      <c r="Z7" s="156"/>
      <c r="AA7" s="12"/>
      <c r="AB7" s="13"/>
      <c r="AC7" s="12"/>
      <c r="AD7" s="145"/>
      <c r="AE7" s="145"/>
      <c r="AF7" s="143"/>
      <c r="AG7" s="146"/>
      <c r="AH7" s="12"/>
      <c r="AI7" s="145"/>
    </row>
    <row r="8" spans="1:35" s="2" customFormat="1" ht="7.5" customHeight="1">
      <c r="A8" s="19"/>
      <c r="B8" s="20"/>
      <c r="C8" s="20"/>
      <c r="D8" s="20"/>
      <c r="F8" s="21"/>
      <c r="G8" s="12"/>
      <c r="H8" s="12"/>
      <c r="I8" s="12"/>
      <c r="J8" s="12"/>
      <c r="K8" s="12"/>
      <c r="L8" s="22"/>
      <c r="M8" s="12"/>
      <c r="N8" s="12"/>
      <c r="O8" s="12"/>
      <c r="P8" s="21"/>
      <c r="Q8" s="12"/>
      <c r="R8" s="21"/>
      <c r="S8" s="16"/>
      <c r="T8" s="16"/>
      <c r="U8" s="12"/>
      <c r="V8" s="21"/>
      <c r="W8" s="12"/>
      <c r="X8" s="21"/>
      <c r="Y8" s="12"/>
      <c r="Z8" s="21"/>
      <c r="AA8" s="12"/>
      <c r="AB8" s="13"/>
      <c r="AC8" s="12"/>
      <c r="AD8" s="23"/>
      <c r="AE8" s="23"/>
      <c r="AF8" s="23"/>
      <c r="AG8" s="23"/>
      <c r="AH8" s="12"/>
      <c r="AI8" s="23"/>
    </row>
    <row r="9" spans="1:35" s="2" customFormat="1" ht="23.25" customHeight="1">
      <c r="A9" s="6" t="s">
        <v>0</v>
      </c>
      <c r="B9" s="11" t="s">
        <v>1</v>
      </c>
      <c r="C9" s="28" t="s">
        <v>2</v>
      </c>
      <c r="D9" s="11" t="s">
        <v>386</v>
      </c>
      <c r="E9" s="12"/>
      <c r="F9" s="30">
        <v>-435675.56000000238</v>
      </c>
      <c r="G9" s="31">
        <v>31348.487113758281</v>
      </c>
      <c r="H9" s="31">
        <v>-112934.87567248649</v>
      </c>
      <c r="I9" s="31">
        <v>-706666</v>
      </c>
      <c r="J9" s="31">
        <v>-42258.354800000001</v>
      </c>
      <c r="K9" s="32"/>
      <c r="L9" s="33">
        <v>478304</v>
      </c>
      <c r="M9" s="31">
        <v>384202</v>
      </c>
      <c r="N9" s="31">
        <v>427336</v>
      </c>
      <c r="O9" s="31"/>
      <c r="P9" s="34">
        <v>0</v>
      </c>
      <c r="Q9" s="31"/>
      <c r="R9" s="35">
        <v>735315</v>
      </c>
      <c r="S9" s="31">
        <v>3586241</v>
      </c>
      <c r="T9" s="31">
        <v>735008.44371687865</v>
      </c>
      <c r="U9" s="31"/>
      <c r="V9" s="36">
        <v>2104794</v>
      </c>
      <c r="W9" s="31"/>
      <c r="X9" s="37">
        <v>87370</v>
      </c>
      <c r="Y9" s="31"/>
      <c r="Z9" s="37">
        <v>327936</v>
      </c>
      <c r="AA9" s="31"/>
      <c r="AB9" s="38"/>
      <c r="AC9" s="31"/>
      <c r="AD9" s="39"/>
      <c r="AE9" s="39"/>
      <c r="AF9" s="39"/>
      <c r="AG9" s="39">
        <v>-2926428</v>
      </c>
      <c r="AH9" s="31"/>
      <c r="AI9" s="40">
        <f t="shared" ref="AI9:AI40" si="0">SUM(AD9:AG9)</f>
        <v>-2926428</v>
      </c>
    </row>
    <row r="10" spans="1:35" s="2" customFormat="1" ht="23.25" customHeight="1">
      <c r="A10" s="7" t="s">
        <v>13</v>
      </c>
      <c r="B10" s="14" t="s">
        <v>14</v>
      </c>
      <c r="C10" s="29" t="s">
        <v>8</v>
      </c>
      <c r="D10" s="15" t="s">
        <v>386</v>
      </c>
      <c r="E10" s="12"/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/>
      <c r="L10" s="31">
        <v>149470</v>
      </c>
      <c r="M10" s="31">
        <v>118216</v>
      </c>
      <c r="N10" s="31">
        <v>152620</v>
      </c>
      <c r="O10" s="31"/>
      <c r="P10" s="31">
        <v>30310</v>
      </c>
      <c r="Q10" s="31"/>
      <c r="R10" s="31">
        <v>68328</v>
      </c>
      <c r="S10" s="31">
        <v>342423</v>
      </c>
      <c r="T10" s="31">
        <v>69598.1040303802</v>
      </c>
      <c r="U10" s="31"/>
      <c r="V10" s="31">
        <v>192538</v>
      </c>
      <c r="W10" s="31"/>
      <c r="X10" s="31">
        <v>13617</v>
      </c>
      <c r="Y10" s="31"/>
      <c r="Z10" s="31">
        <v>0</v>
      </c>
      <c r="AA10" s="31"/>
      <c r="AB10" s="38"/>
      <c r="AC10" s="31"/>
      <c r="AD10" s="31"/>
      <c r="AE10" s="31"/>
      <c r="AF10" s="31"/>
      <c r="AG10" s="31">
        <v>-318843</v>
      </c>
      <c r="AH10" s="31"/>
      <c r="AI10" s="41">
        <f t="shared" si="0"/>
        <v>-318843</v>
      </c>
    </row>
    <row r="11" spans="1:35" s="2" customFormat="1" ht="23.25" customHeight="1">
      <c r="A11" s="6" t="s">
        <v>57</v>
      </c>
      <c r="B11" s="11" t="s">
        <v>58</v>
      </c>
      <c r="C11" s="28" t="s">
        <v>59</v>
      </c>
      <c r="D11" s="11" t="s">
        <v>386</v>
      </c>
      <c r="E11" s="12"/>
      <c r="F11" s="30">
        <v>0</v>
      </c>
      <c r="G11" s="31">
        <v>0</v>
      </c>
      <c r="H11" s="31">
        <v>0</v>
      </c>
      <c r="I11" s="31">
        <v>0</v>
      </c>
      <c r="J11" s="31">
        <v>0</v>
      </c>
      <c r="K11" s="32"/>
      <c r="L11" s="33">
        <v>179364</v>
      </c>
      <c r="M11" s="31">
        <v>177324</v>
      </c>
      <c r="N11" s="31">
        <v>183144</v>
      </c>
      <c r="O11" s="31"/>
      <c r="P11" s="34">
        <v>0</v>
      </c>
      <c r="Q11" s="31"/>
      <c r="R11" s="35">
        <v>23802</v>
      </c>
      <c r="S11" s="31">
        <v>95211</v>
      </c>
      <c r="T11" s="31">
        <v>11445.260885046759</v>
      </c>
      <c r="U11" s="31"/>
      <c r="V11" s="36">
        <v>67592</v>
      </c>
      <c r="W11" s="31"/>
      <c r="X11" s="37">
        <v>-3660</v>
      </c>
      <c r="Y11" s="31"/>
      <c r="Z11" s="37">
        <v>0</v>
      </c>
      <c r="AA11" s="31"/>
      <c r="AB11" s="38"/>
      <c r="AC11" s="31"/>
      <c r="AD11" s="39"/>
      <c r="AE11" s="39"/>
      <c r="AF11" s="39"/>
      <c r="AG11" s="39">
        <v>-54614</v>
      </c>
      <c r="AH11" s="31"/>
      <c r="AI11" s="40">
        <f t="shared" si="0"/>
        <v>-54614</v>
      </c>
    </row>
    <row r="12" spans="1:35" s="2" customFormat="1" ht="23.25" customHeight="1">
      <c r="A12" s="7" t="s">
        <v>218</v>
      </c>
      <c r="B12" s="14" t="s">
        <v>219</v>
      </c>
      <c r="C12" s="29" t="s">
        <v>28</v>
      </c>
      <c r="D12" s="15" t="s">
        <v>386</v>
      </c>
      <c r="E12" s="12"/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/>
      <c r="L12" s="31">
        <v>0</v>
      </c>
      <c r="M12" s="31" t="s">
        <v>387</v>
      </c>
      <c r="N12" s="31">
        <v>0</v>
      </c>
      <c r="O12" s="31"/>
      <c r="P12" s="31">
        <v>0</v>
      </c>
      <c r="Q12" s="31"/>
      <c r="R12" s="31">
        <v>501</v>
      </c>
      <c r="S12" s="31">
        <v>8466</v>
      </c>
      <c r="T12" s="31">
        <v>0</v>
      </c>
      <c r="U12" s="31"/>
      <c r="V12" s="31">
        <v>0</v>
      </c>
      <c r="W12" s="31"/>
      <c r="X12" s="31">
        <v>0</v>
      </c>
      <c r="Y12" s="31"/>
      <c r="Z12" s="31">
        <v>0</v>
      </c>
      <c r="AA12" s="31"/>
      <c r="AB12" s="38"/>
      <c r="AC12" s="31"/>
      <c r="AD12" s="31"/>
      <c r="AE12" s="31"/>
      <c r="AF12" s="31"/>
      <c r="AG12" s="31">
        <v>-10181</v>
      </c>
      <c r="AH12" s="31"/>
      <c r="AI12" s="41">
        <f t="shared" si="0"/>
        <v>-10181</v>
      </c>
    </row>
    <row r="13" spans="1:35" s="2" customFormat="1" ht="23.25" customHeight="1">
      <c r="A13" s="6" t="s">
        <v>3</v>
      </c>
      <c r="B13" s="11" t="s">
        <v>4</v>
      </c>
      <c r="C13" s="28" t="s">
        <v>5</v>
      </c>
      <c r="D13" s="11" t="s">
        <v>388</v>
      </c>
      <c r="E13" s="12"/>
      <c r="F13" s="30">
        <v>-501320.95379316318</v>
      </c>
      <c r="G13" s="31">
        <v>-214653.95379316318</v>
      </c>
      <c r="H13" s="31">
        <v>0</v>
      </c>
      <c r="I13" s="31">
        <v>-286667</v>
      </c>
      <c r="J13" s="31">
        <v>0</v>
      </c>
      <c r="K13" s="32"/>
      <c r="L13" s="33">
        <v>448410</v>
      </c>
      <c r="M13" s="31">
        <v>413756</v>
      </c>
      <c r="N13" s="31">
        <v>396812</v>
      </c>
      <c r="O13" s="31"/>
      <c r="P13" s="34">
        <v>148975</v>
      </c>
      <c r="Q13" s="31"/>
      <c r="R13" s="35">
        <v>251052</v>
      </c>
      <c r="S13" s="31">
        <v>1153362</v>
      </c>
      <c r="T13" s="31">
        <v>244337.21337844688</v>
      </c>
      <c r="U13" s="31"/>
      <c r="V13" s="36">
        <v>908073</v>
      </c>
      <c r="W13" s="31"/>
      <c r="X13" s="37">
        <v>383594</v>
      </c>
      <c r="Y13" s="31"/>
      <c r="Z13" s="37">
        <v>228096</v>
      </c>
      <c r="AA13" s="31"/>
      <c r="AB13" s="38"/>
      <c r="AC13" s="31"/>
      <c r="AD13" s="39"/>
      <c r="AE13" s="39"/>
      <c r="AF13" s="39"/>
      <c r="AG13" s="39">
        <v>-767669</v>
      </c>
      <c r="AH13" s="31"/>
      <c r="AI13" s="40">
        <f t="shared" si="0"/>
        <v>-767669</v>
      </c>
    </row>
    <row r="14" spans="1:35" s="2" customFormat="1" ht="23.25" customHeight="1">
      <c r="A14" s="7" t="s">
        <v>208</v>
      </c>
      <c r="B14" s="14" t="s">
        <v>209</v>
      </c>
      <c r="C14" s="29" t="s">
        <v>8</v>
      </c>
      <c r="D14" s="15" t="s">
        <v>388</v>
      </c>
      <c r="E14" s="12"/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/>
      <c r="L14" s="31">
        <v>149470</v>
      </c>
      <c r="M14" s="31">
        <v>177324</v>
      </c>
      <c r="N14" s="31">
        <v>152620</v>
      </c>
      <c r="O14" s="31"/>
      <c r="P14" s="31">
        <v>73293</v>
      </c>
      <c r="Q14" s="31"/>
      <c r="R14" s="31">
        <v>42769</v>
      </c>
      <c r="S14" s="31">
        <v>351581</v>
      </c>
      <c r="T14" s="31">
        <v>48278.298875548549</v>
      </c>
      <c r="U14" s="31"/>
      <c r="V14" s="31">
        <v>140401</v>
      </c>
      <c r="W14" s="31"/>
      <c r="X14" s="31">
        <v>-16034</v>
      </c>
      <c r="Y14" s="31"/>
      <c r="Z14" s="31">
        <v>0</v>
      </c>
      <c r="AA14" s="31"/>
      <c r="AB14" s="38"/>
      <c r="AC14" s="31"/>
      <c r="AD14" s="31"/>
      <c r="AE14" s="31"/>
      <c r="AF14" s="31"/>
      <c r="AG14" s="31">
        <v>-225949</v>
      </c>
      <c r="AH14" s="31"/>
      <c r="AI14" s="41">
        <f t="shared" si="0"/>
        <v>-225949</v>
      </c>
    </row>
    <row r="15" spans="1:35" s="2" customFormat="1" ht="23.25" customHeight="1">
      <c r="A15" s="6" t="s">
        <v>15</v>
      </c>
      <c r="B15" s="11" t="s">
        <v>16</v>
      </c>
      <c r="C15" s="28" t="s">
        <v>8</v>
      </c>
      <c r="D15" s="11" t="s">
        <v>389</v>
      </c>
      <c r="E15" s="12"/>
      <c r="F15" s="30">
        <v>-127260.44376377291</v>
      </c>
      <c r="G15" s="31">
        <v>-53927.443763772913</v>
      </c>
      <c r="H15" s="31">
        <v>0</v>
      </c>
      <c r="I15" s="31">
        <v>-73333</v>
      </c>
      <c r="J15" s="31">
        <v>0</v>
      </c>
      <c r="K15" s="32"/>
      <c r="L15" s="33">
        <v>149470</v>
      </c>
      <c r="M15" s="31">
        <v>59108</v>
      </c>
      <c r="N15" s="31">
        <v>91572</v>
      </c>
      <c r="O15" s="31"/>
      <c r="P15" s="34">
        <v>82616</v>
      </c>
      <c r="Q15" s="31"/>
      <c r="R15" s="35">
        <v>252005</v>
      </c>
      <c r="S15" s="31">
        <v>1216361</v>
      </c>
      <c r="T15" s="31">
        <v>253879.86220694269</v>
      </c>
      <c r="U15" s="31"/>
      <c r="V15" s="36">
        <v>854100</v>
      </c>
      <c r="W15" s="31"/>
      <c r="X15" s="37">
        <v>73951</v>
      </c>
      <c r="Y15" s="31"/>
      <c r="Z15" s="37">
        <v>109824</v>
      </c>
      <c r="AA15" s="31"/>
      <c r="AB15" s="38"/>
      <c r="AC15" s="31"/>
      <c r="AD15" s="39"/>
      <c r="AE15" s="39"/>
      <c r="AF15" s="39"/>
      <c r="AG15" s="39">
        <v>-862450</v>
      </c>
      <c r="AH15" s="31"/>
      <c r="AI15" s="40">
        <f t="shared" si="0"/>
        <v>-862450</v>
      </c>
    </row>
    <row r="16" spans="1:35" s="2" customFormat="1" ht="23.25" customHeight="1">
      <c r="A16" s="7" t="s">
        <v>206</v>
      </c>
      <c r="B16" s="14" t="s">
        <v>207</v>
      </c>
      <c r="C16" s="29" t="s">
        <v>8</v>
      </c>
      <c r="D16" s="15" t="s">
        <v>389</v>
      </c>
      <c r="E16" s="12"/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/>
      <c r="L16" s="31">
        <v>89682</v>
      </c>
      <c r="M16" s="31">
        <v>118216</v>
      </c>
      <c r="N16" s="31">
        <v>91572</v>
      </c>
      <c r="O16" s="31"/>
      <c r="P16" s="31">
        <v>61747</v>
      </c>
      <c r="Q16" s="31"/>
      <c r="R16" s="31">
        <v>35776</v>
      </c>
      <c r="S16" s="31">
        <v>187038</v>
      </c>
      <c r="T16" s="31">
        <v>26291.464651387098</v>
      </c>
      <c r="U16" s="31"/>
      <c r="V16" s="31">
        <v>109223</v>
      </c>
      <c r="W16" s="31"/>
      <c r="X16" s="31">
        <v>28497</v>
      </c>
      <c r="Y16" s="31"/>
      <c r="Z16" s="31">
        <v>0</v>
      </c>
      <c r="AA16" s="31"/>
      <c r="AB16" s="38"/>
      <c r="AC16" s="31"/>
      <c r="AD16" s="31"/>
      <c r="AE16" s="31"/>
      <c r="AF16" s="31"/>
      <c r="AG16" s="31">
        <v>-141580</v>
      </c>
      <c r="AH16" s="31"/>
      <c r="AI16" s="41">
        <f t="shared" si="0"/>
        <v>-141580</v>
      </c>
    </row>
    <row r="17" spans="1:35" s="2" customFormat="1" ht="23.25" customHeight="1">
      <c r="A17" s="6" t="s">
        <v>220</v>
      </c>
      <c r="B17" s="11" t="s">
        <v>221</v>
      </c>
      <c r="C17" s="28" t="s">
        <v>28</v>
      </c>
      <c r="D17" s="11" t="s">
        <v>389</v>
      </c>
      <c r="E17" s="12"/>
      <c r="F17" s="30">
        <v>0</v>
      </c>
      <c r="G17" s="31">
        <v>0</v>
      </c>
      <c r="H17" s="31">
        <v>0</v>
      </c>
      <c r="I17" s="31">
        <v>0</v>
      </c>
      <c r="J17" s="31">
        <v>0</v>
      </c>
      <c r="K17" s="32"/>
      <c r="L17" s="33">
        <v>0</v>
      </c>
      <c r="M17" s="31" t="s">
        <v>387</v>
      </c>
      <c r="N17" s="31">
        <v>0</v>
      </c>
      <c r="O17" s="31"/>
      <c r="P17" s="34">
        <v>0</v>
      </c>
      <c r="Q17" s="31"/>
      <c r="R17" s="35">
        <v>478</v>
      </c>
      <c r="S17" s="31">
        <v>8080</v>
      </c>
      <c r="T17" s="31">
        <v>0</v>
      </c>
      <c r="U17" s="31"/>
      <c r="V17" s="36">
        <v>0</v>
      </c>
      <c r="W17" s="31"/>
      <c r="X17" s="37">
        <v>-2055</v>
      </c>
      <c r="Y17" s="31"/>
      <c r="Z17" s="37">
        <v>0</v>
      </c>
      <c r="AA17" s="31"/>
      <c r="AB17" s="38"/>
      <c r="AC17" s="31"/>
      <c r="AD17" s="39"/>
      <c r="AE17" s="39"/>
      <c r="AF17" s="39"/>
      <c r="AG17" s="39">
        <v>-62421</v>
      </c>
      <c r="AH17" s="31"/>
      <c r="AI17" s="40">
        <f t="shared" si="0"/>
        <v>-62421</v>
      </c>
    </row>
    <row r="18" spans="1:35" s="2" customFormat="1" ht="23.25" customHeight="1">
      <c r="A18" s="7" t="s">
        <v>17</v>
      </c>
      <c r="B18" s="14" t="s">
        <v>18</v>
      </c>
      <c r="C18" s="29" t="s">
        <v>19</v>
      </c>
      <c r="D18" s="15" t="s">
        <v>390</v>
      </c>
      <c r="E18" s="12"/>
      <c r="F18" s="31">
        <v>-204524.60529842999</v>
      </c>
      <c r="G18" s="31">
        <v>133089</v>
      </c>
      <c r="H18" s="31">
        <v>48566.394701570003</v>
      </c>
      <c r="I18" s="31">
        <v>-386667</v>
      </c>
      <c r="J18" s="31">
        <v>487</v>
      </c>
      <c r="K18" s="31"/>
      <c r="L18" s="31">
        <v>59788</v>
      </c>
      <c r="M18" s="31">
        <v>29554</v>
      </c>
      <c r="N18" s="31">
        <v>30524</v>
      </c>
      <c r="O18" s="31"/>
      <c r="P18" s="31">
        <v>153300</v>
      </c>
      <c r="Q18" s="31"/>
      <c r="R18" s="31">
        <v>443434</v>
      </c>
      <c r="S18" s="31">
        <v>2305615</v>
      </c>
      <c r="T18" s="31">
        <v>516408.0117499539</v>
      </c>
      <c r="U18" s="31"/>
      <c r="V18" s="31">
        <v>2086974</v>
      </c>
      <c r="W18" s="31"/>
      <c r="X18" s="31">
        <v>-37422</v>
      </c>
      <c r="Y18" s="31"/>
      <c r="Z18" s="31">
        <v>288000</v>
      </c>
      <c r="AA18" s="31"/>
      <c r="AB18" s="38"/>
      <c r="AC18" s="31"/>
      <c r="AD18" s="31"/>
      <c r="AE18" s="31"/>
      <c r="AF18" s="31"/>
      <c r="AG18" s="31">
        <v>-1997038</v>
      </c>
      <c r="AH18" s="31"/>
      <c r="AI18" s="41">
        <f t="shared" si="0"/>
        <v>-1997038</v>
      </c>
    </row>
    <row r="19" spans="1:35" s="2" customFormat="1" ht="23.25" customHeight="1">
      <c r="A19" s="6" t="s">
        <v>20</v>
      </c>
      <c r="B19" s="11" t="s">
        <v>21</v>
      </c>
      <c r="C19" s="28" t="s">
        <v>5</v>
      </c>
      <c r="D19" s="11" t="s">
        <v>390</v>
      </c>
      <c r="E19" s="12"/>
      <c r="F19" s="30">
        <v>0</v>
      </c>
      <c r="G19" s="31">
        <v>0</v>
      </c>
      <c r="H19" s="31">
        <v>0</v>
      </c>
      <c r="I19" s="31">
        <v>0</v>
      </c>
      <c r="J19" s="31">
        <v>0</v>
      </c>
      <c r="K19" s="32"/>
      <c r="L19" s="33">
        <v>239152</v>
      </c>
      <c r="M19" s="31">
        <v>177324</v>
      </c>
      <c r="N19" s="31">
        <v>152620</v>
      </c>
      <c r="O19" s="31"/>
      <c r="P19" s="34">
        <v>64676</v>
      </c>
      <c r="Q19" s="31"/>
      <c r="R19" s="35">
        <v>125875</v>
      </c>
      <c r="S19" s="31">
        <v>533367</v>
      </c>
      <c r="T19" s="31">
        <v>95666.17187822242</v>
      </c>
      <c r="U19" s="31"/>
      <c r="V19" s="36">
        <v>163051</v>
      </c>
      <c r="W19" s="31"/>
      <c r="X19" s="37">
        <v>202921</v>
      </c>
      <c r="Y19" s="31"/>
      <c r="Z19" s="37">
        <v>0</v>
      </c>
      <c r="AA19" s="31"/>
      <c r="AB19" s="38"/>
      <c r="AC19" s="31"/>
      <c r="AD19" s="39"/>
      <c r="AE19" s="39"/>
      <c r="AF19" s="39"/>
      <c r="AG19" s="39">
        <v>-445600</v>
      </c>
      <c r="AH19" s="31"/>
      <c r="AI19" s="40">
        <f t="shared" si="0"/>
        <v>-445600</v>
      </c>
    </row>
    <row r="20" spans="1:35" s="2" customFormat="1" ht="23.25" customHeight="1">
      <c r="A20" s="7" t="s">
        <v>173</v>
      </c>
      <c r="B20" s="14" t="s">
        <v>174</v>
      </c>
      <c r="C20" s="29" t="s">
        <v>8</v>
      </c>
      <c r="D20" s="15" t="s">
        <v>390</v>
      </c>
      <c r="E20" s="12"/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/>
      <c r="L20" s="31">
        <v>59788</v>
      </c>
      <c r="M20" s="31">
        <v>88662</v>
      </c>
      <c r="N20" s="31">
        <v>61048</v>
      </c>
      <c r="O20" s="31"/>
      <c r="P20" s="31">
        <v>131725</v>
      </c>
      <c r="Q20" s="31"/>
      <c r="R20" s="31">
        <v>167000</v>
      </c>
      <c r="S20" s="31">
        <v>653827</v>
      </c>
      <c r="T20" s="31">
        <v>116330.196201158</v>
      </c>
      <c r="U20" s="31"/>
      <c r="V20" s="31">
        <v>367050</v>
      </c>
      <c r="W20" s="31"/>
      <c r="X20" s="31">
        <v>57840</v>
      </c>
      <c r="Y20" s="31"/>
      <c r="Z20" s="31">
        <v>0</v>
      </c>
      <c r="AA20" s="31"/>
      <c r="AB20" s="38"/>
      <c r="AC20" s="31"/>
      <c r="AD20" s="31"/>
      <c r="AE20" s="31"/>
      <c r="AF20" s="31"/>
      <c r="AG20" s="31">
        <v>-467898</v>
      </c>
      <c r="AH20" s="31"/>
      <c r="AI20" s="41">
        <f t="shared" si="0"/>
        <v>-467898</v>
      </c>
    </row>
    <row r="21" spans="1:35" s="2" customFormat="1" ht="23.25" customHeight="1">
      <c r="A21" s="6" t="s">
        <v>222</v>
      </c>
      <c r="B21" s="11" t="s">
        <v>223</v>
      </c>
      <c r="C21" s="28" t="s">
        <v>28</v>
      </c>
      <c r="D21" s="11" t="s">
        <v>390</v>
      </c>
      <c r="E21" s="12"/>
      <c r="F21" s="30">
        <v>0</v>
      </c>
      <c r="G21" s="31">
        <v>0</v>
      </c>
      <c r="H21" s="31">
        <v>0</v>
      </c>
      <c r="I21" s="31">
        <v>0</v>
      </c>
      <c r="J21" s="31">
        <v>0</v>
      </c>
      <c r="K21" s="32"/>
      <c r="L21" s="33">
        <v>0</v>
      </c>
      <c r="M21" s="31">
        <v>0</v>
      </c>
      <c r="N21" s="31">
        <v>0</v>
      </c>
      <c r="O21" s="31"/>
      <c r="P21" s="34">
        <v>0</v>
      </c>
      <c r="Q21" s="31"/>
      <c r="R21" s="35">
        <v>418</v>
      </c>
      <c r="S21" s="31">
        <v>7049</v>
      </c>
      <c r="T21" s="31">
        <v>0</v>
      </c>
      <c r="U21" s="31"/>
      <c r="V21" s="36">
        <v>0</v>
      </c>
      <c r="W21" s="31"/>
      <c r="X21" s="37">
        <v>0</v>
      </c>
      <c r="Y21" s="31"/>
      <c r="Z21" s="37">
        <v>0</v>
      </c>
      <c r="AA21" s="31"/>
      <c r="AB21" s="38"/>
      <c r="AC21" s="31"/>
      <c r="AD21" s="39"/>
      <c r="AE21" s="39"/>
      <c r="AF21" s="39"/>
      <c r="AG21" s="39">
        <v>-7886</v>
      </c>
      <c r="AH21" s="31"/>
      <c r="AI21" s="40">
        <f t="shared" si="0"/>
        <v>-7886</v>
      </c>
    </row>
    <row r="22" spans="1:35" s="2" customFormat="1" ht="23.25" customHeight="1">
      <c r="A22" s="7" t="s">
        <v>224</v>
      </c>
      <c r="B22" s="14" t="s">
        <v>225</v>
      </c>
      <c r="C22" s="29" t="s">
        <v>28</v>
      </c>
      <c r="D22" s="15" t="s">
        <v>390</v>
      </c>
      <c r="E22" s="12"/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/>
      <c r="L22" s="31">
        <v>0</v>
      </c>
      <c r="M22" s="31" t="s">
        <v>387</v>
      </c>
      <c r="N22" s="31">
        <v>0</v>
      </c>
      <c r="O22" s="31"/>
      <c r="P22" s="31">
        <v>0</v>
      </c>
      <c r="Q22" s="31"/>
      <c r="R22" s="31">
        <v>994</v>
      </c>
      <c r="S22" s="31">
        <v>16808</v>
      </c>
      <c r="T22" s="31">
        <v>0</v>
      </c>
      <c r="U22" s="31"/>
      <c r="V22" s="31">
        <v>0</v>
      </c>
      <c r="W22" s="31"/>
      <c r="X22" s="31">
        <v>-9349</v>
      </c>
      <c r="Y22" s="31"/>
      <c r="Z22" s="31">
        <v>0</v>
      </c>
      <c r="AA22" s="31"/>
      <c r="AB22" s="38"/>
      <c r="AC22" s="31"/>
      <c r="AD22" s="31"/>
      <c r="AE22" s="31"/>
      <c r="AF22" s="31"/>
      <c r="AG22" s="31">
        <v>-137026</v>
      </c>
      <c r="AH22" s="31"/>
      <c r="AI22" s="41">
        <f t="shared" si="0"/>
        <v>-137026</v>
      </c>
    </row>
    <row r="23" spans="1:35" s="2" customFormat="1" ht="23.25" customHeight="1">
      <c r="A23" s="6" t="s">
        <v>226</v>
      </c>
      <c r="B23" s="11" t="s">
        <v>227</v>
      </c>
      <c r="C23" s="28" t="s">
        <v>28</v>
      </c>
      <c r="D23" s="11" t="s">
        <v>390</v>
      </c>
      <c r="E23" s="12"/>
      <c r="F23" s="30">
        <v>0</v>
      </c>
      <c r="G23" s="31">
        <v>0</v>
      </c>
      <c r="H23" s="31">
        <v>0</v>
      </c>
      <c r="I23" s="31">
        <v>0</v>
      </c>
      <c r="J23" s="31">
        <v>0</v>
      </c>
      <c r="K23" s="32"/>
      <c r="L23" s="33"/>
      <c r="M23" s="31" t="s">
        <v>387</v>
      </c>
      <c r="N23" s="31">
        <v>0</v>
      </c>
      <c r="O23" s="31"/>
      <c r="P23" s="34" t="s">
        <v>387</v>
      </c>
      <c r="Q23" s="31"/>
      <c r="R23" s="35" t="s">
        <v>387</v>
      </c>
      <c r="S23" s="31">
        <v>0</v>
      </c>
      <c r="T23" s="31">
        <v>0</v>
      </c>
      <c r="U23" s="31"/>
      <c r="V23" s="36" t="s">
        <v>387</v>
      </c>
      <c r="W23" s="31"/>
      <c r="X23" s="37">
        <v>0</v>
      </c>
      <c r="Y23" s="31"/>
      <c r="Z23" s="37">
        <v>0</v>
      </c>
      <c r="AA23" s="31"/>
      <c r="AB23" s="38"/>
      <c r="AC23" s="31"/>
      <c r="AD23" s="39"/>
      <c r="AE23" s="39"/>
      <c r="AF23" s="39"/>
      <c r="AG23" s="39">
        <v>-2978</v>
      </c>
      <c r="AH23" s="31"/>
      <c r="AI23" s="40">
        <f t="shared" si="0"/>
        <v>-2978</v>
      </c>
    </row>
    <row r="24" spans="1:35" s="2" customFormat="1" ht="23.25" customHeight="1">
      <c r="A24" s="7" t="s">
        <v>31</v>
      </c>
      <c r="B24" s="14" t="s">
        <v>32</v>
      </c>
      <c r="C24" s="29" t="s">
        <v>5</v>
      </c>
      <c r="D24" s="15" t="s">
        <v>391</v>
      </c>
      <c r="E24" s="12"/>
      <c r="F24" s="31">
        <v>42984.806660232804</v>
      </c>
      <c r="G24" s="31">
        <v>60160.332409461305</v>
      </c>
      <c r="H24" s="31">
        <v>-56509.525749228502</v>
      </c>
      <c r="I24" s="31">
        <v>39334</v>
      </c>
      <c r="J24" s="31">
        <v>0</v>
      </c>
      <c r="K24" s="31"/>
      <c r="L24" s="31">
        <v>89682</v>
      </c>
      <c r="M24" s="31" t="s">
        <v>387</v>
      </c>
      <c r="N24" s="31">
        <v>91572</v>
      </c>
      <c r="O24" s="31"/>
      <c r="P24" s="31">
        <v>108483</v>
      </c>
      <c r="Q24" s="31"/>
      <c r="R24" s="31">
        <v>274417</v>
      </c>
      <c r="S24" s="31">
        <v>1335336</v>
      </c>
      <c r="T24" s="31">
        <v>273359.81424457184</v>
      </c>
      <c r="U24" s="31"/>
      <c r="V24" s="31">
        <v>814085</v>
      </c>
      <c r="W24" s="31"/>
      <c r="X24" s="31">
        <v>200908</v>
      </c>
      <c r="Y24" s="31"/>
      <c r="Z24" s="31">
        <v>110848</v>
      </c>
      <c r="AA24" s="31"/>
      <c r="AB24" s="38"/>
      <c r="AC24" s="31"/>
      <c r="AD24" s="31"/>
      <c r="AE24" s="31"/>
      <c r="AF24" s="31"/>
      <c r="AG24" s="31">
        <v>-975365</v>
      </c>
      <c r="AH24" s="31"/>
      <c r="AI24" s="41">
        <f t="shared" si="0"/>
        <v>-975365</v>
      </c>
    </row>
    <row r="25" spans="1:35" s="2" customFormat="1" ht="23.25" customHeight="1">
      <c r="A25" s="6" t="s">
        <v>86</v>
      </c>
      <c r="B25" s="11" t="s">
        <v>87</v>
      </c>
      <c r="C25" s="28" t="s">
        <v>48</v>
      </c>
      <c r="D25" s="11" t="s">
        <v>391</v>
      </c>
      <c r="E25" s="12"/>
      <c r="F25" s="30">
        <v>0</v>
      </c>
      <c r="G25" s="31">
        <v>0</v>
      </c>
      <c r="H25" s="31">
        <v>0</v>
      </c>
      <c r="I25" s="31">
        <v>0</v>
      </c>
      <c r="J25" s="31">
        <v>0</v>
      </c>
      <c r="K25" s="32"/>
      <c r="L25" s="33">
        <v>0</v>
      </c>
      <c r="M25" s="31" t="s">
        <v>387</v>
      </c>
      <c r="N25" s="31" t="s">
        <v>387</v>
      </c>
      <c r="O25" s="31"/>
      <c r="P25" s="34">
        <v>0</v>
      </c>
      <c r="Q25" s="31"/>
      <c r="R25" s="35">
        <v>24727</v>
      </c>
      <c r="S25" s="31">
        <v>73509</v>
      </c>
      <c r="T25" s="31">
        <v>13851.022790623763</v>
      </c>
      <c r="U25" s="31"/>
      <c r="V25" s="36">
        <v>70538</v>
      </c>
      <c r="W25" s="31"/>
      <c r="X25" s="37">
        <v>3660</v>
      </c>
      <c r="Y25" s="31"/>
      <c r="Z25" s="37">
        <v>0</v>
      </c>
      <c r="AA25" s="31"/>
      <c r="AB25" s="38"/>
      <c r="AC25" s="31"/>
      <c r="AD25" s="39"/>
      <c r="AE25" s="39"/>
      <c r="AF25" s="39"/>
      <c r="AG25" s="39">
        <v>-77183</v>
      </c>
      <c r="AH25" s="31"/>
      <c r="AI25" s="40">
        <f t="shared" si="0"/>
        <v>-77183</v>
      </c>
    </row>
    <row r="26" spans="1:35" s="2" customFormat="1" ht="23.25" customHeight="1">
      <c r="A26" s="7" t="s">
        <v>228</v>
      </c>
      <c r="B26" s="14" t="s">
        <v>229</v>
      </c>
      <c r="C26" s="29" t="s">
        <v>28</v>
      </c>
      <c r="D26" s="15" t="s">
        <v>391</v>
      </c>
      <c r="E26" s="12"/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/>
      <c r="L26" s="31">
        <v>89682</v>
      </c>
      <c r="M26" s="31">
        <v>88662</v>
      </c>
      <c r="N26" s="31">
        <v>0</v>
      </c>
      <c r="O26" s="31"/>
      <c r="P26" s="31">
        <v>0</v>
      </c>
      <c r="Q26" s="31"/>
      <c r="R26" s="31">
        <v>633</v>
      </c>
      <c r="S26" s="31">
        <v>2944</v>
      </c>
      <c r="T26" s="31">
        <v>0</v>
      </c>
      <c r="U26" s="31"/>
      <c r="V26" s="31">
        <v>0</v>
      </c>
      <c r="W26" s="31"/>
      <c r="X26" s="31">
        <v>0</v>
      </c>
      <c r="Y26" s="31"/>
      <c r="Z26" s="31">
        <v>0</v>
      </c>
      <c r="AA26" s="31"/>
      <c r="AB26" s="38"/>
      <c r="AC26" s="31"/>
      <c r="AD26" s="31"/>
      <c r="AE26" s="31"/>
      <c r="AF26" s="31"/>
      <c r="AG26" s="31">
        <v>0</v>
      </c>
      <c r="AH26" s="31"/>
      <c r="AI26" s="41">
        <f t="shared" si="0"/>
        <v>0</v>
      </c>
    </row>
    <row r="27" spans="1:35" s="2" customFormat="1" ht="23.25" customHeight="1">
      <c r="A27" s="6" t="s">
        <v>41</v>
      </c>
      <c r="B27" s="11" t="s">
        <v>42</v>
      </c>
      <c r="C27" s="28" t="s">
        <v>43</v>
      </c>
      <c r="D27" s="11" t="s">
        <v>371</v>
      </c>
      <c r="E27" s="12"/>
      <c r="F27" s="30">
        <v>-277664.18083569943</v>
      </c>
      <c r="G27" s="31">
        <v>51988.819164300556</v>
      </c>
      <c r="H27" s="31">
        <v>0</v>
      </c>
      <c r="I27" s="31">
        <v>-266667</v>
      </c>
      <c r="J27" s="31">
        <v>-62986</v>
      </c>
      <c r="K27" s="32"/>
      <c r="L27" s="33">
        <v>627774</v>
      </c>
      <c r="M27" s="31">
        <v>561526</v>
      </c>
      <c r="N27" s="31">
        <v>610480</v>
      </c>
      <c r="O27" s="31"/>
      <c r="P27" s="34">
        <v>110469</v>
      </c>
      <c r="Q27" s="31"/>
      <c r="R27" s="35">
        <v>319019</v>
      </c>
      <c r="S27" s="31">
        <v>1601654</v>
      </c>
      <c r="T27" s="31">
        <v>328780.23433908494</v>
      </c>
      <c r="U27" s="31"/>
      <c r="V27" s="36">
        <v>1040260</v>
      </c>
      <c r="W27" s="31"/>
      <c r="X27" s="37">
        <v>152849</v>
      </c>
      <c r="Y27" s="31"/>
      <c r="Z27" s="37">
        <v>97536</v>
      </c>
      <c r="AA27" s="31"/>
      <c r="AB27" s="38"/>
      <c r="AC27" s="31"/>
      <c r="AD27" s="39"/>
      <c r="AE27" s="39"/>
      <c r="AF27" s="39"/>
      <c r="AG27" s="39">
        <v>-1327095</v>
      </c>
      <c r="AH27" s="31"/>
      <c r="AI27" s="40">
        <f t="shared" si="0"/>
        <v>-1327095</v>
      </c>
    </row>
    <row r="28" spans="1:35" s="2" customFormat="1" ht="23.25" customHeight="1">
      <c r="A28" s="7" t="s">
        <v>191</v>
      </c>
      <c r="B28" s="14" t="s">
        <v>192</v>
      </c>
      <c r="C28" s="29" t="s">
        <v>98</v>
      </c>
      <c r="D28" s="15" t="s">
        <v>371</v>
      </c>
      <c r="E28" s="12"/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/>
      <c r="L28" s="31">
        <v>0</v>
      </c>
      <c r="M28" s="31">
        <v>29554</v>
      </c>
      <c r="N28" s="31" t="s">
        <v>387</v>
      </c>
      <c r="O28" s="31"/>
      <c r="P28" s="31">
        <v>0</v>
      </c>
      <c r="Q28" s="31"/>
      <c r="R28" s="31">
        <v>18322</v>
      </c>
      <c r="S28" s="31">
        <v>92219</v>
      </c>
      <c r="T28" s="31">
        <v>10323.244315975946</v>
      </c>
      <c r="U28" s="31"/>
      <c r="V28" s="31">
        <v>49539</v>
      </c>
      <c r="W28" s="31"/>
      <c r="X28" s="31">
        <v>12650</v>
      </c>
      <c r="Y28" s="31"/>
      <c r="Z28" s="31">
        <v>0</v>
      </c>
      <c r="AA28" s="31"/>
      <c r="AB28" s="38"/>
      <c r="AC28" s="31"/>
      <c r="AD28" s="31"/>
      <c r="AE28" s="31"/>
      <c r="AF28" s="31"/>
      <c r="AG28" s="31">
        <v>-63053</v>
      </c>
      <c r="AH28" s="31"/>
      <c r="AI28" s="41">
        <f t="shared" si="0"/>
        <v>-63053</v>
      </c>
    </row>
    <row r="29" spans="1:35" s="2" customFormat="1" ht="23.25" customHeight="1">
      <c r="A29" s="6" t="s">
        <v>49</v>
      </c>
      <c r="B29" s="11" t="s">
        <v>50</v>
      </c>
      <c r="C29" s="28" t="s">
        <v>38</v>
      </c>
      <c r="D29" s="11" t="s">
        <v>392</v>
      </c>
      <c r="E29" s="12"/>
      <c r="F29" s="30">
        <v>0</v>
      </c>
      <c r="G29" s="31">
        <v>0</v>
      </c>
      <c r="H29" s="31">
        <v>0</v>
      </c>
      <c r="I29" s="31">
        <v>0</v>
      </c>
      <c r="J29" s="31">
        <v>0</v>
      </c>
      <c r="K29" s="32"/>
      <c r="L29" s="33">
        <v>239152</v>
      </c>
      <c r="M29" s="31">
        <v>443310</v>
      </c>
      <c r="N29" s="31">
        <v>244192</v>
      </c>
      <c r="O29" s="31"/>
      <c r="P29" s="34">
        <v>43689</v>
      </c>
      <c r="Q29" s="31"/>
      <c r="R29" s="35">
        <v>53550</v>
      </c>
      <c r="S29" s="31">
        <v>293982</v>
      </c>
      <c r="T29" s="31">
        <v>47279.368601702852</v>
      </c>
      <c r="U29" s="31"/>
      <c r="V29" s="36">
        <v>236136</v>
      </c>
      <c r="W29" s="31"/>
      <c r="X29" s="37">
        <v>24076</v>
      </c>
      <c r="Y29" s="31"/>
      <c r="Z29" s="37">
        <v>15616</v>
      </c>
      <c r="AA29" s="31"/>
      <c r="AB29" s="38"/>
      <c r="AC29" s="31"/>
      <c r="AD29" s="39"/>
      <c r="AE29" s="39"/>
      <c r="AF29" s="39"/>
      <c r="AG29" s="39">
        <v>-152254</v>
      </c>
      <c r="AH29" s="31"/>
      <c r="AI29" s="40">
        <f t="shared" si="0"/>
        <v>-152254</v>
      </c>
    </row>
    <row r="30" spans="1:35" s="2" customFormat="1" ht="23.25" customHeight="1">
      <c r="A30" s="7" t="s">
        <v>26</v>
      </c>
      <c r="B30" s="14" t="s">
        <v>27</v>
      </c>
      <c r="C30" s="29" t="s">
        <v>28</v>
      </c>
      <c r="D30" s="15" t="s">
        <v>393</v>
      </c>
      <c r="E30" s="12"/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/>
      <c r="L30" s="31">
        <v>149470</v>
      </c>
      <c r="M30" s="31">
        <v>59108</v>
      </c>
      <c r="N30" s="31">
        <v>0</v>
      </c>
      <c r="O30" s="31"/>
      <c r="P30" s="31">
        <v>0</v>
      </c>
      <c r="Q30" s="31"/>
      <c r="R30" s="31">
        <v>288</v>
      </c>
      <c r="S30" s="31">
        <v>2857</v>
      </c>
      <c r="T30" s="31">
        <v>0</v>
      </c>
      <c r="U30" s="31"/>
      <c r="V30" s="31">
        <v>0</v>
      </c>
      <c r="W30" s="31"/>
      <c r="X30" s="31">
        <v>0</v>
      </c>
      <c r="Y30" s="31"/>
      <c r="Z30" s="31">
        <v>0</v>
      </c>
      <c r="AA30" s="31"/>
      <c r="AB30" s="38"/>
      <c r="AC30" s="31"/>
      <c r="AD30" s="31"/>
      <c r="AE30" s="31"/>
      <c r="AF30" s="31"/>
      <c r="AG30" s="31">
        <v>0</v>
      </c>
      <c r="AH30" s="31"/>
      <c r="AI30" s="41">
        <f t="shared" si="0"/>
        <v>0</v>
      </c>
    </row>
    <row r="31" spans="1:35" s="2" customFormat="1" ht="23.25" customHeight="1">
      <c r="A31" s="6" t="s">
        <v>72</v>
      </c>
      <c r="B31" s="11" t="s">
        <v>73</v>
      </c>
      <c r="C31" s="28" t="s">
        <v>5</v>
      </c>
      <c r="D31" s="11" t="s">
        <v>393</v>
      </c>
      <c r="E31" s="12"/>
      <c r="F31" s="30">
        <v>0</v>
      </c>
      <c r="G31" s="31">
        <v>0</v>
      </c>
      <c r="H31" s="31">
        <v>0</v>
      </c>
      <c r="I31" s="31">
        <v>0</v>
      </c>
      <c r="J31" s="31">
        <v>0</v>
      </c>
      <c r="K31" s="32"/>
      <c r="L31" s="33">
        <v>0</v>
      </c>
      <c r="M31" s="31" t="s">
        <v>387</v>
      </c>
      <c r="N31" s="31" t="s">
        <v>387</v>
      </c>
      <c r="O31" s="31"/>
      <c r="P31" s="34">
        <v>20869</v>
      </c>
      <c r="Q31" s="31"/>
      <c r="R31" s="35">
        <v>53030</v>
      </c>
      <c r="S31" s="31">
        <v>525225</v>
      </c>
      <c r="T31" s="31">
        <v>56468.51809725217</v>
      </c>
      <c r="U31" s="31"/>
      <c r="V31" s="36">
        <v>138689</v>
      </c>
      <c r="W31" s="31"/>
      <c r="X31" s="37">
        <v>0</v>
      </c>
      <c r="Y31" s="31"/>
      <c r="Z31" s="37">
        <v>0</v>
      </c>
      <c r="AA31" s="31"/>
      <c r="AB31" s="38"/>
      <c r="AC31" s="31"/>
      <c r="AD31" s="39"/>
      <c r="AE31" s="39"/>
      <c r="AF31" s="39"/>
      <c r="AG31" s="39">
        <v>-41888</v>
      </c>
      <c r="AH31" s="31"/>
      <c r="AI31" s="40">
        <f t="shared" si="0"/>
        <v>-41888</v>
      </c>
    </row>
    <row r="32" spans="1:35" s="2" customFormat="1" ht="23.25" customHeight="1">
      <c r="A32" s="7" t="s">
        <v>135</v>
      </c>
      <c r="B32" s="14" t="s">
        <v>136</v>
      </c>
      <c r="C32" s="29" t="s">
        <v>38</v>
      </c>
      <c r="D32" s="15" t="s">
        <v>393</v>
      </c>
      <c r="E32" s="12"/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/>
      <c r="L32" s="31">
        <v>538092</v>
      </c>
      <c r="M32" s="31">
        <v>591080</v>
      </c>
      <c r="N32" s="31">
        <v>488384</v>
      </c>
      <c r="O32" s="31"/>
      <c r="P32" s="31">
        <v>108702</v>
      </c>
      <c r="Q32" s="31"/>
      <c r="R32" s="31">
        <v>88176</v>
      </c>
      <c r="S32" s="31">
        <v>505651</v>
      </c>
      <c r="T32" s="31">
        <v>84357.42235360817</v>
      </c>
      <c r="U32" s="31"/>
      <c r="V32" s="31">
        <v>459327</v>
      </c>
      <c r="W32" s="31"/>
      <c r="X32" s="31">
        <v>124778</v>
      </c>
      <c r="Y32" s="31"/>
      <c r="Z32" s="31">
        <v>0</v>
      </c>
      <c r="AA32" s="31"/>
      <c r="AB32" s="38"/>
      <c r="AC32" s="31"/>
      <c r="AD32" s="31"/>
      <c r="AE32" s="31"/>
      <c r="AF32" s="31"/>
      <c r="AG32" s="31">
        <v>-583457</v>
      </c>
      <c r="AH32" s="31"/>
      <c r="AI32" s="41">
        <f t="shared" si="0"/>
        <v>-583457</v>
      </c>
    </row>
    <row r="33" spans="1:35" s="2" customFormat="1" ht="23.25" customHeight="1">
      <c r="A33" s="6" t="s">
        <v>163</v>
      </c>
      <c r="B33" s="11" t="s">
        <v>164</v>
      </c>
      <c r="C33" s="28" t="s">
        <v>48</v>
      </c>
      <c r="D33" s="11" t="s">
        <v>393</v>
      </c>
      <c r="E33" s="12"/>
      <c r="F33" s="30">
        <v>0</v>
      </c>
      <c r="G33" s="31">
        <v>0</v>
      </c>
      <c r="H33" s="31">
        <v>0</v>
      </c>
      <c r="I33" s="31">
        <v>0</v>
      </c>
      <c r="J33" s="31">
        <v>0</v>
      </c>
      <c r="K33" s="32"/>
      <c r="L33" s="33">
        <v>149470</v>
      </c>
      <c r="M33" s="31">
        <v>118216</v>
      </c>
      <c r="N33" s="31">
        <v>91572</v>
      </c>
      <c r="O33" s="31"/>
      <c r="P33" s="34">
        <v>78678</v>
      </c>
      <c r="Q33" s="31"/>
      <c r="R33" s="35">
        <v>165658</v>
      </c>
      <c r="S33" s="31">
        <v>839504</v>
      </c>
      <c r="T33" s="31">
        <v>145204.4784891289</v>
      </c>
      <c r="U33" s="31"/>
      <c r="V33" s="36">
        <v>3554</v>
      </c>
      <c r="W33" s="31"/>
      <c r="X33" s="37">
        <v>142028</v>
      </c>
      <c r="Y33" s="31"/>
      <c r="Z33" s="37">
        <v>0</v>
      </c>
      <c r="AA33" s="31"/>
      <c r="AB33" s="38"/>
      <c r="AC33" s="31"/>
      <c r="AD33" s="39"/>
      <c r="AE33" s="39"/>
      <c r="AF33" s="39"/>
      <c r="AG33" s="39">
        <v>-574764</v>
      </c>
      <c r="AH33" s="31"/>
      <c r="AI33" s="40">
        <f t="shared" si="0"/>
        <v>-574764</v>
      </c>
    </row>
    <row r="34" spans="1:35" s="2" customFormat="1" ht="23.25" customHeight="1">
      <c r="A34" s="7" t="s">
        <v>169</v>
      </c>
      <c r="B34" s="14" t="s">
        <v>170</v>
      </c>
      <c r="C34" s="29" t="s">
        <v>8</v>
      </c>
      <c r="D34" s="15" t="s">
        <v>393</v>
      </c>
      <c r="E34" s="12"/>
      <c r="F34" s="31">
        <v>-145963</v>
      </c>
      <c r="G34" s="31">
        <v>107370</v>
      </c>
      <c r="H34" s="31">
        <v>0</v>
      </c>
      <c r="I34" s="31">
        <v>-253333</v>
      </c>
      <c r="J34" s="31">
        <v>0</v>
      </c>
      <c r="K34" s="31"/>
      <c r="L34" s="31">
        <v>179364</v>
      </c>
      <c r="M34" s="31">
        <v>206878</v>
      </c>
      <c r="N34" s="31" t="s">
        <v>387</v>
      </c>
      <c r="O34" s="31"/>
      <c r="P34" s="31">
        <v>27617</v>
      </c>
      <c r="Q34" s="31"/>
      <c r="R34" s="31">
        <v>225245</v>
      </c>
      <c r="S34" s="31">
        <v>1373100</v>
      </c>
      <c r="T34" s="31">
        <v>265468.29516722239</v>
      </c>
      <c r="U34" s="31"/>
      <c r="V34" s="31">
        <v>429322</v>
      </c>
      <c r="W34" s="31"/>
      <c r="X34" s="31">
        <v>-78617</v>
      </c>
      <c r="Y34" s="31"/>
      <c r="Z34" s="31">
        <v>842752</v>
      </c>
      <c r="AA34" s="31"/>
      <c r="AB34" s="38"/>
      <c r="AC34" s="31"/>
      <c r="AD34" s="31"/>
      <c r="AE34" s="31"/>
      <c r="AF34" s="31"/>
      <c r="AG34" s="31">
        <v>-1089419</v>
      </c>
      <c r="AH34" s="31"/>
      <c r="AI34" s="41">
        <f t="shared" si="0"/>
        <v>-1089419</v>
      </c>
    </row>
    <row r="35" spans="1:35" s="2" customFormat="1" ht="23.25" customHeight="1">
      <c r="A35" s="6" t="s">
        <v>171</v>
      </c>
      <c r="B35" s="11" t="s">
        <v>172</v>
      </c>
      <c r="C35" s="28" t="s">
        <v>8</v>
      </c>
      <c r="D35" s="11" t="s">
        <v>393</v>
      </c>
      <c r="E35" s="12"/>
      <c r="F35" s="30">
        <v>-73976.051397470583</v>
      </c>
      <c r="G35" s="31">
        <v>-113310.05139747058</v>
      </c>
      <c r="H35" s="31">
        <v>0</v>
      </c>
      <c r="I35" s="31">
        <v>39334</v>
      </c>
      <c r="J35" s="31">
        <v>0</v>
      </c>
      <c r="K35" s="32"/>
      <c r="L35" s="33">
        <v>747350</v>
      </c>
      <c r="M35" s="31">
        <v>502418</v>
      </c>
      <c r="N35" s="31">
        <v>763100</v>
      </c>
      <c r="O35" s="31"/>
      <c r="P35" s="34">
        <v>33625</v>
      </c>
      <c r="Q35" s="31"/>
      <c r="R35" s="35">
        <v>230300</v>
      </c>
      <c r="S35" s="31">
        <v>1067209</v>
      </c>
      <c r="T35" s="31">
        <v>160421.21732664012</v>
      </c>
      <c r="U35" s="31"/>
      <c r="V35" s="36">
        <v>484767</v>
      </c>
      <c r="W35" s="31"/>
      <c r="X35" s="37">
        <v>45307</v>
      </c>
      <c r="Y35" s="31"/>
      <c r="Z35" s="37">
        <v>0</v>
      </c>
      <c r="AA35" s="31"/>
      <c r="AB35" s="38"/>
      <c r="AC35" s="31"/>
      <c r="AD35" s="39"/>
      <c r="AE35" s="39"/>
      <c r="AF35" s="39"/>
      <c r="AG35" s="39">
        <v>-877840</v>
      </c>
      <c r="AH35" s="31"/>
      <c r="AI35" s="40">
        <f t="shared" si="0"/>
        <v>-877840</v>
      </c>
    </row>
    <row r="36" spans="1:35" s="2" customFormat="1" ht="23.25" customHeight="1">
      <c r="A36" s="7" t="s">
        <v>230</v>
      </c>
      <c r="B36" s="14" t="s">
        <v>231</v>
      </c>
      <c r="C36" s="29" t="s">
        <v>28</v>
      </c>
      <c r="D36" s="15" t="s">
        <v>393</v>
      </c>
      <c r="E36" s="12"/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/>
      <c r="L36" s="31"/>
      <c r="M36" s="31" t="s">
        <v>387</v>
      </c>
      <c r="N36" s="31" t="s">
        <v>387</v>
      </c>
      <c r="O36" s="31"/>
      <c r="P36" s="31" t="s">
        <v>387</v>
      </c>
      <c r="Q36" s="31"/>
      <c r="R36" s="31" t="s">
        <v>387</v>
      </c>
      <c r="S36" s="31">
        <v>0</v>
      </c>
      <c r="T36" s="31">
        <v>0</v>
      </c>
      <c r="U36" s="31"/>
      <c r="V36" s="31" t="s">
        <v>387</v>
      </c>
      <c r="W36" s="31"/>
      <c r="X36" s="31">
        <v>0</v>
      </c>
      <c r="Y36" s="31"/>
      <c r="Z36" s="31">
        <v>0</v>
      </c>
      <c r="AA36" s="31"/>
      <c r="AB36" s="38"/>
      <c r="AC36" s="31"/>
      <c r="AD36" s="31"/>
      <c r="AE36" s="31"/>
      <c r="AF36" s="31"/>
      <c r="AG36" s="31">
        <v>-3419</v>
      </c>
      <c r="AH36" s="31"/>
      <c r="AI36" s="41">
        <f t="shared" si="0"/>
        <v>-3419</v>
      </c>
    </row>
    <row r="37" spans="1:35" s="2" customFormat="1" ht="23.25" customHeight="1">
      <c r="A37" s="6" t="s">
        <v>232</v>
      </c>
      <c r="B37" s="11" t="s">
        <v>233</v>
      </c>
      <c r="C37" s="28" t="s">
        <v>28</v>
      </c>
      <c r="D37" s="11" t="s">
        <v>393</v>
      </c>
      <c r="E37" s="12"/>
      <c r="F37" s="30">
        <v>0</v>
      </c>
      <c r="G37" s="31">
        <v>0</v>
      </c>
      <c r="H37" s="31">
        <v>0</v>
      </c>
      <c r="I37" s="31">
        <v>0</v>
      </c>
      <c r="J37" s="31">
        <v>0</v>
      </c>
      <c r="K37" s="32"/>
      <c r="L37" s="33">
        <v>0</v>
      </c>
      <c r="M37" s="31" t="s">
        <v>387</v>
      </c>
      <c r="N37" s="31">
        <v>0</v>
      </c>
      <c r="O37" s="31"/>
      <c r="P37" s="34">
        <v>0</v>
      </c>
      <c r="Q37" s="31"/>
      <c r="R37" s="35">
        <v>377</v>
      </c>
      <c r="S37" s="31">
        <v>6378</v>
      </c>
      <c r="T37" s="31">
        <v>0</v>
      </c>
      <c r="U37" s="31"/>
      <c r="V37" s="36">
        <v>0</v>
      </c>
      <c r="W37" s="31"/>
      <c r="X37" s="37">
        <v>-267</v>
      </c>
      <c r="Y37" s="31"/>
      <c r="Z37" s="37">
        <v>0</v>
      </c>
      <c r="AA37" s="31"/>
      <c r="AB37" s="38"/>
      <c r="AC37" s="31"/>
      <c r="AD37" s="39"/>
      <c r="AE37" s="39"/>
      <c r="AF37" s="39"/>
      <c r="AG37" s="39">
        <v>-41368</v>
      </c>
      <c r="AH37" s="31"/>
      <c r="AI37" s="40">
        <f t="shared" si="0"/>
        <v>-41368</v>
      </c>
    </row>
    <row r="38" spans="1:35" s="2" customFormat="1" ht="23.25" customHeight="1">
      <c r="A38" s="7" t="s">
        <v>234</v>
      </c>
      <c r="B38" s="14" t="s">
        <v>235</v>
      </c>
      <c r="C38" s="29" t="s">
        <v>28</v>
      </c>
      <c r="D38" s="15" t="s">
        <v>393</v>
      </c>
      <c r="E38" s="12"/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/>
      <c r="L38" s="31"/>
      <c r="M38" s="31" t="s">
        <v>387</v>
      </c>
      <c r="N38" s="31" t="s">
        <v>387</v>
      </c>
      <c r="O38" s="31"/>
      <c r="P38" s="31" t="s">
        <v>387</v>
      </c>
      <c r="Q38" s="31"/>
      <c r="R38" s="31" t="s">
        <v>387</v>
      </c>
      <c r="S38" s="31">
        <v>269</v>
      </c>
      <c r="T38" s="31">
        <v>0</v>
      </c>
      <c r="U38" s="31"/>
      <c r="V38" s="31" t="s">
        <v>387</v>
      </c>
      <c r="W38" s="31"/>
      <c r="X38" s="31">
        <v>0</v>
      </c>
      <c r="Y38" s="31"/>
      <c r="Z38" s="31">
        <v>0</v>
      </c>
      <c r="AA38" s="31"/>
      <c r="AB38" s="38"/>
      <c r="AC38" s="31"/>
      <c r="AD38" s="31"/>
      <c r="AE38" s="31"/>
      <c r="AF38" s="31"/>
      <c r="AG38" s="31">
        <v>-4614</v>
      </c>
      <c r="AH38" s="31"/>
      <c r="AI38" s="41">
        <f t="shared" si="0"/>
        <v>-4614</v>
      </c>
    </row>
    <row r="39" spans="1:35" s="2" customFormat="1" ht="23.25" customHeight="1">
      <c r="A39" s="6" t="s">
        <v>51</v>
      </c>
      <c r="B39" s="11" t="s">
        <v>52</v>
      </c>
      <c r="C39" s="28" t="s">
        <v>8</v>
      </c>
      <c r="D39" s="11" t="s">
        <v>394</v>
      </c>
      <c r="E39" s="12"/>
      <c r="F39" s="30">
        <v>-117259.33936168776</v>
      </c>
      <c r="G39" s="31">
        <v>-103926.33936168776</v>
      </c>
      <c r="H39" s="31">
        <v>0</v>
      </c>
      <c r="I39" s="31">
        <v>-13333</v>
      </c>
      <c r="J39" s="31">
        <v>0</v>
      </c>
      <c r="K39" s="32"/>
      <c r="L39" s="33">
        <v>149470</v>
      </c>
      <c r="M39" s="31">
        <v>177324</v>
      </c>
      <c r="N39" s="31">
        <v>91572</v>
      </c>
      <c r="O39" s="31"/>
      <c r="P39" s="34">
        <v>27617</v>
      </c>
      <c r="Q39" s="31"/>
      <c r="R39" s="35">
        <v>286708</v>
      </c>
      <c r="S39" s="31">
        <v>1409068</v>
      </c>
      <c r="T39" s="31">
        <v>287994.61611570063</v>
      </c>
      <c r="U39" s="31"/>
      <c r="V39" s="36">
        <v>781994</v>
      </c>
      <c r="W39" s="31"/>
      <c r="X39" s="37">
        <v>147833</v>
      </c>
      <c r="Y39" s="31"/>
      <c r="Z39" s="37">
        <v>165888</v>
      </c>
      <c r="AA39" s="31"/>
      <c r="AB39" s="38"/>
      <c r="AC39" s="31"/>
      <c r="AD39" s="39"/>
      <c r="AE39" s="39"/>
      <c r="AF39" s="39"/>
      <c r="AG39" s="39">
        <v>-1080899</v>
      </c>
      <c r="AH39" s="31"/>
      <c r="AI39" s="40">
        <f t="shared" si="0"/>
        <v>-1080899</v>
      </c>
    </row>
    <row r="40" spans="1:35" s="2" customFormat="1" ht="23.25" customHeight="1">
      <c r="A40" s="7" t="s">
        <v>236</v>
      </c>
      <c r="B40" s="14" t="s">
        <v>237</v>
      </c>
      <c r="C40" s="29" t="s">
        <v>28</v>
      </c>
      <c r="D40" s="15" t="s">
        <v>394</v>
      </c>
      <c r="E40" s="12"/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/>
      <c r="L40" s="31">
        <v>29894</v>
      </c>
      <c r="M40" s="31" t="s">
        <v>387</v>
      </c>
      <c r="N40" s="31">
        <v>0</v>
      </c>
      <c r="O40" s="31"/>
      <c r="P40" s="31">
        <v>0</v>
      </c>
      <c r="Q40" s="31"/>
      <c r="R40" s="31">
        <v>0</v>
      </c>
      <c r="S40" s="31">
        <v>0</v>
      </c>
      <c r="T40" s="31">
        <v>0</v>
      </c>
      <c r="U40" s="31"/>
      <c r="V40" s="31">
        <v>0</v>
      </c>
      <c r="W40" s="31"/>
      <c r="X40" s="31">
        <v>0</v>
      </c>
      <c r="Y40" s="31"/>
      <c r="Z40" s="31">
        <v>0</v>
      </c>
      <c r="AA40" s="31"/>
      <c r="AB40" s="38"/>
      <c r="AC40" s="31"/>
      <c r="AD40" s="31"/>
      <c r="AE40" s="31"/>
      <c r="AF40" s="31"/>
      <c r="AG40" s="31">
        <v>0</v>
      </c>
      <c r="AH40" s="31"/>
      <c r="AI40" s="41">
        <f t="shared" si="0"/>
        <v>0</v>
      </c>
    </row>
    <row r="41" spans="1:35" s="2" customFormat="1" ht="23.25" customHeight="1">
      <c r="A41" s="6" t="s">
        <v>39</v>
      </c>
      <c r="B41" s="11" t="s">
        <v>40</v>
      </c>
      <c r="C41" s="28" t="s">
        <v>5</v>
      </c>
      <c r="D41" s="11" t="s">
        <v>395</v>
      </c>
      <c r="E41" s="12"/>
      <c r="F41" s="30">
        <v>0</v>
      </c>
      <c r="G41" s="31">
        <v>0</v>
      </c>
      <c r="H41" s="31">
        <v>0</v>
      </c>
      <c r="I41" s="31">
        <v>0</v>
      </c>
      <c r="J41" s="31">
        <v>0</v>
      </c>
      <c r="K41" s="32"/>
      <c r="L41" s="33">
        <v>418516</v>
      </c>
      <c r="M41" s="31">
        <v>384202</v>
      </c>
      <c r="N41" s="31">
        <v>427336</v>
      </c>
      <c r="O41" s="31"/>
      <c r="P41" s="34">
        <v>85427</v>
      </c>
      <c r="Q41" s="31"/>
      <c r="R41" s="35">
        <v>156667</v>
      </c>
      <c r="S41" s="31">
        <v>654320</v>
      </c>
      <c r="T41" s="31">
        <v>121138.46684697755</v>
      </c>
      <c r="U41" s="31"/>
      <c r="V41" s="36">
        <v>511810</v>
      </c>
      <c r="W41" s="31"/>
      <c r="X41" s="37">
        <v>40184</v>
      </c>
      <c r="Y41" s="31"/>
      <c r="Z41" s="37">
        <v>0</v>
      </c>
      <c r="AA41" s="31"/>
      <c r="AB41" s="38"/>
      <c r="AC41" s="31"/>
      <c r="AD41" s="39"/>
      <c r="AE41" s="39"/>
      <c r="AF41" s="39"/>
      <c r="AG41" s="39">
        <v>-552676</v>
      </c>
      <c r="AH41" s="31"/>
      <c r="AI41" s="40">
        <f t="shared" ref="AI41:AI70" si="1">SUM(AD41:AG41)</f>
        <v>-552676</v>
      </c>
    </row>
    <row r="42" spans="1:35" s="2" customFormat="1" ht="23.25" customHeight="1">
      <c r="A42" s="7" t="s">
        <v>96</v>
      </c>
      <c r="B42" s="14" t="s">
        <v>97</v>
      </c>
      <c r="C42" s="29" t="s">
        <v>98</v>
      </c>
      <c r="D42" s="15" t="s">
        <v>395</v>
      </c>
      <c r="E42" s="12"/>
      <c r="F42" s="31">
        <v>-85224</v>
      </c>
      <c r="G42" s="31">
        <v>148109</v>
      </c>
      <c r="H42" s="31">
        <v>0</v>
      </c>
      <c r="I42" s="31">
        <v>-133333</v>
      </c>
      <c r="J42" s="31">
        <v>-100000</v>
      </c>
      <c r="K42" s="31"/>
      <c r="L42" s="31">
        <v>179364</v>
      </c>
      <c r="M42" s="31">
        <v>295540</v>
      </c>
      <c r="N42" s="31">
        <v>152620</v>
      </c>
      <c r="O42" s="31"/>
      <c r="P42" s="31">
        <v>165350</v>
      </c>
      <c r="Q42" s="31"/>
      <c r="R42" s="31">
        <v>502709</v>
      </c>
      <c r="S42" s="31">
        <v>2557970</v>
      </c>
      <c r="T42" s="31">
        <v>499366.56159935222</v>
      </c>
      <c r="U42" s="31"/>
      <c r="V42" s="31">
        <v>1317112</v>
      </c>
      <c r="W42" s="31"/>
      <c r="X42" s="31">
        <v>141395</v>
      </c>
      <c r="Y42" s="31"/>
      <c r="Z42" s="31">
        <v>306432</v>
      </c>
      <c r="AA42" s="31"/>
      <c r="AB42" s="38"/>
      <c r="AC42" s="31"/>
      <c r="AD42" s="31"/>
      <c r="AE42" s="31"/>
      <c r="AF42" s="31"/>
      <c r="AG42" s="31">
        <v>-2089884</v>
      </c>
      <c r="AH42" s="31"/>
      <c r="AI42" s="41">
        <f t="shared" si="1"/>
        <v>-2089884</v>
      </c>
    </row>
    <row r="43" spans="1:35" s="2" customFormat="1" ht="23.25" customHeight="1">
      <c r="A43" s="6" t="s">
        <v>101</v>
      </c>
      <c r="B43" s="11" t="s">
        <v>102</v>
      </c>
      <c r="C43" s="28" t="s">
        <v>8</v>
      </c>
      <c r="D43" s="11" t="s">
        <v>395</v>
      </c>
      <c r="E43" s="12"/>
      <c r="F43" s="30">
        <v>0</v>
      </c>
      <c r="G43" s="31">
        <v>0</v>
      </c>
      <c r="H43" s="31">
        <v>0</v>
      </c>
      <c r="I43" s="31">
        <v>0</v>
      </c>
      <c r="J43" s="31">
        <v>0</v>
      </c>
      <c r="K43" s="32"/>
      <c r="L43" s="33">
        <v>59788</v>
      </c>
      <c r="M43" s="31">
        <v>59108</v>
      </c>
      <c r="N43" s="31">
        <v>61048</v>
      </c>
      <c r="O43" s="31"/>
      <c r="P43" s="34">
        <v>63111</v>
      </c>
      <c r="Q43" s="31"/>
      <c r="R43" s="35">
        <v>109827</v>
      </c>
      <c r="S43" s="31">
        <v>577366</v>
      </c>
      <c r="T43" s="31">
        <v>90117.314275961573</v>
      </c>
      <c r="U43" s="31"/>
      <c r="V43" s="36">
        <v>455643</v>
      </c>
      <c r="W43" s="31"/>
      <c r="X43" s="37">
        <v>-9286</v>
      </c>
      <c r="Y43" s="31"/>
      <c r="Z43" s="37">
        <v>0</v>
      </c>
      <c r="AA43" s="31"/>
      <c r="AB43" s="38"/>
      <c r="AC43" s="31"/>
      <c r="AD43" s="39"/>
      <c r="AE43" s="39"/>
      <c r="AF43" s="39"/>
      <c r="AG43" s="39">
        <v>-431289</v>
      </c>
      <c r="AH43" s="31"/>
      <c r="AI43" s="40">
        <f t="shared" si="1"/>
        <v>-431289</v>
      </c>
    </row>
    <row r="44" spans="1:35" s="2" customFormat="1" ht="23.25" customHeight="1">
      <c r="A44" s="7" t="s">
        <v>238</v>
      </c>
      <c r="B44" s="14" t="s">
        <v>239</v>
      </c>
      <c r="C44" s="29" t="s">
        <v>28</v>
      </c>
      <c r="D44" s="15" t="s">
        <v>395</v>
      </c>
      <c r="E44" s="12"/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/>
      <c r="L44" s="31">
        <v>0</v>
      </c>
      <c r="M44" s="31" t="s">
        <v>387</v>
      </c>
      <c r="N44" s="31" t="s">
        <v>387</v>
      </c>
      <c r="O44" s="31"/>
      <c r="P44" s="31">
        <v>0</v>
      </c>
      <c r="Q44" s="31"/>
      <c r="R44" s="31">
        <v>63</v>
      </c>
      <c r="S44" s="31">
        <v>1065</v>
      </c>
      <c r="T44" s="31">
        <v>0</v>
      </c>
      <c r="U44" s="31"/>
      <c r="V44" s="31">
        <v>0</v>
      </c>
      <c r="W44" s="31"/>
      <c r="X44" s="31">
        <v>0</v>
      </c>
      <c r="Y44" s="31"/>
      <c r="Z44" s="31">
        <v>0</v>
      </c>
      <c r="AA44" s="31"/>
      <c r="AB44" s="38"/>
      <c r="AC44" s="31"/>
      <c r="AD44" s="31"/>
      <c r="AE44" s="31"/>
      <c r="AF44" s="31"/>
      <c r="AG44" s="31">
        <v>-1387</v>
      </c>
      <c r="AH44" s="31"/>
      <c r="AI44" s="41">
        <f t="shared" si="1"/>
        <v>-1387</v>
      </c>
    </row>
    <row r="45" spans="1:35" s="2" customFormat="1" ht="23.25" customHeight="1">
      <c r="A45" s="6" t="s">
        <v>240</v>
      </c>
      <c r="B45" s="11" t="s">
        <v>241</v>
      </c>
      <c r="C45" s="28" t="s">
        <v>28</v>
      </c>
      <c r="D45" s="11" t="s">
        <v>395</v>
      </c>
      <c r="E45" s="12"/>
      <c r="F45" s="30">
        <v>0</v>
      </c>
      <c r="G45" s="31">
        <v>0</v>
      </c>
      <c r="H45" s="31">
        <v>0</v>
      </c>
      <c r="I45" s="31">
        <v>0</v>
      </c>
      <c r="J45" s="31">
        <v>0</v>
      </c>
      <c r="K45" s="32"/>
      <c r="L45" s="33">
        <v>0</v>
      </c>
      <c r="M45" s="31" t="s">
        <v>387</v>
      </c>
      <c r="N45" s="31">
        <v>0</v>
      </c>
      <c r="O45" s="31"/>
      <c r="P45" s="34">
        <v>0</v>
      </c>
      <c r="Q45" s="31"/>
      <c r="R45" s="35">
        <v>293</v>
      </c>
      <c r="S45" s="31">
        <v>4937</v>
      </c>
      <c r="T45" s="31">
        <v>0</v>
      </c>
      <c r="U45" s="31"/>
      <c r="V45" s="36">
        <v>0</v>
      </c>
      <c r="W45" s="31"/>
      <c r="X45" s="37">
        <v>0</v>
      </c>
      <c r="Y45" s="31"/>
      <c r="Z45" s="37">
        <v>0</v>
      </c>
      <c r="AA45" s="31"/>
      <c r="AB45" s="38"/>
      <c r="AC45" s="31"/>
      <c r="AD45" s="39"/>
      <c r="AE45" s="39"/>
      <c r="AF45" s="39"/>
      <c r="AG45" s="39">
        <v>-7161</v>
      </c>
      <c r="AH45" s="31"/>
      <c r="AI45" s="40">
        <f t="shared" si="1"/>
        <v>-7161</v>
      </c>
    </row>
    <row r="46" spans="1:35" s="2" customFormat="1" ht="23.25" customHeight="1">
      <c r="A46" s="7" t="s">
        <v>242</v>
      </c>
      <c r="B46" s="14" t="s">
        <v>243</v>
      </c>
      <c r="C46" s="29" t="s">
        <v>28</v>
      </c>
      <c r="D46" s="15" t="s">
        <v>395</v>
      </c>
      <c r="E46" s="12"/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/>
      <c r="L46" s="31">
        <v>0</v>
      </c>
      <c r="M46" s="31" t="s">
        <v>387</v>
      </c>
      <c r="N46" s="31">
        <v>0</v>
      </c>
      <c r="O46" s="31"/>
      <c r="P46" s="31">
        <v>0</v>
      </c>
      <c r="Q46" s="31"/>
      <c r="R46" s="31">
        <v>55</v>
      </c>
      <c r="S46" s="31">
        <v>932</v>
      </c>
      <c r="T46" s="31">
        <v>0</v>
      </c>
      <c r="U46" s="31"/>
      <c r="V46" s="31">
        <v>0</v>
      </c>
      <c r="W46" s="31"/>
      <c r="X46" s="31">
        <v>0</v>
      </c>
      <c r="Y46" s="31"/>
      <c r="Z46" s="31">
        <v>0</v>
      </c>
      <c r="AA46" s="31"/>
      <c r="AB46" s="38"/>
      <c r="AC46" s="31"/>
      <c r="AD46" s="31"/>
      <c r="AE46" s="31"/>
      <c r="AF46" s="31"/>
      <c r="AG46" s="31">
        <v>-9130</v>
      </c>
      <c r="AH46" s="31"/>
      <c r="AI46" s="41">
        <f t="shared" si="1"/>
        <v>-9130</v>
      </c>
    </row>
    <row r="47" spans="1:35" s="2" customFormat="1" ht="23.25" customHeight="1">
      <c r="A47" s="6" t="s">
        <v>9</v>
      </c>
      <c r="B47" s="11" t="s">
        <v>10</v>
      </c>
      <c r="C47" s="28" t="s">
        <v>11</v>
      </c>
      <c r="D47" s="11" t="s">
        <v>396</v>
      </c>
      <c r="E47" s="12"/>
      <c r="F47" s="30">
        <v>-43855.179608608829</v>
      </c>
      <c r="G47" s="31">
        <v>272259.82039139117</v>
      </c>
      <c r="H47" s="31">
        <v>0</v>
      </c>
      <c r="I47" s="31">
        <v>-160000</v>
      </c>
      <c r="J47" s="31">
        <v>-156115</v>
      </c>
      <c r="K47" s="32"/>
      <c r="L47" s="33">
        <v>179650</v>
      </c>
      <c r="M47" s="31">
        <v>88662</v>
      </c>
      <c r="N47" s="31">
        <v>181990</v>
      </c>
      <c r="O47" s="31"/>
      <c r="P47" s="34">
        <v>20128</v>
      </c>
      <c r="Q47" s="31"/>
      <c r="R47" s="35">
        <v>119998</v>
      </c>
      <c r="S47" s="31">
        <v>594135</v>
      </c>
      <c r="T47" s="31">
        <v>155350.37004448508</v>
      </c>
      <c r="U47" s="31"/>
      <c r="V47" s="36">
        <v>382736</v>
      </c>
      <c r="W47" s="31"/>
      <c r="X47" s="37">
        <v>74312</v>
      </c>
      <c r="Y47" s="31"/>
      <c r="Z47" s="37">
        <v>56576</v>
      </c>
      <c r="AA47" s="31"/>
      <c r="AB47" s="38"/>
      <c r="AC47" s="31"/>
      <c r="AD47" s="39"/>
      <c r="AE47" s="39"/>
      <c r="AF47" s="39"/>
      <c r="AG47" s="39">
        <v>-447154</v>
      </c>
      <c r="AH47" s="31"/>
      <c r="AI47" s="40">
        <f t="shared" si="1"/>
        <v>-447154</v>
      </c>
    </row>
    <row r="48" spans="1:35" s="2" customFormat="1" ht="23.25" customHeight="1">
      <c r="A48" s="7" t="s">
        <v>99</v>
      </c>
      <c r="B48" s="14" t="s">
        <v>100</v>
      </c>
      <c r="C48" s="29" t="s">
        <v>35</v>
      </c>
      <c r="D48" s="15" t="s">
        <v>397</v>
      </c>
      <c r="E48" s="12"/>
      <c r="F48" s="31">
        <v>-30469</v>
      </c>
      <c r="G48" s="31">
        <v>0</v>
      </c>
      <c r="H48" s="31">
        <v>0</v>
      </c>
      <c r="I48" s="31">
        <v>0</v>
      </c>
      <c r="J48" s="31">
        <v>-30469</v>
      </c>
      <c r="K48" s="31"/>
      <c r="L48" s="31">
        <v>646740</v>
      </c>
      <c r="M48" s="31">
        <v>443310</v>
      </c>
      <c r="N48" s="31">
        <v>545970</v>
      </c>
      <c r="O48" s="31"/>
      <c r="P48" s="31">
        <v>0</v>
      </c>
      <c r="Q48" s="31"/>
      <c r="R48" s="31">
        <v>11000</v>
      </c>
      <c r="S48" s="31">
        <v>151531</v>
      </c>
      <c r="T48" s="31">
        <v>24708.476408993498</v>
      </c>
      <c r="U48" s="31"/>
      <c r="V48" s="31">
        <v>0</v>
      </c>
      <c r="W48" s="31"/>
      <c r="X48" s="31">
        <v>13184</v>
      </c>
      <c r="Y48" s="31"/>
      <c r="Z48" s="31">
        <v>60928</v>
      </c>
      <c r="AA48" s="31"/>
      <c r="AB48" s="38"/>
      <c r="AC48" s="31"/>
      <c r="AD48" s="31"/>
      <c r="AE48" s="31"/>
      <c r="AF48" s="31"/>
      <c r="AG48" s="31">
        <v>-89525</v>
      </c>
      <c r="AH48" s="31"/>
      <c r="AI48" s="41">
        <f t="shared" si="1"/>
        <v>-89525</v>
      </c>
    </row>
    <row r="49" spans="1:35" s="2" customFormat="1" ht="23.25" customHeight="1">
      <c r="A49" s="6" t="s">
        <v>116</v>
      </c>
      <c r="B49" s="11" t="s">
        <v>117</v>
      </c>
      <c r="C49" s="28" t="s">
        <v>11</v>
      </c>
      <c r="D49" s="11" t="s">
        <v>398</v>
      </c>
      <c r="E49" s="12"/>
      <c r="F49" s="30">
        <v>37648.491099028848</v>
      </c>
      <c r="G49" s="31">
        <v>308950.98993095686</v>
      </c>
      <c r="H49" s="31">
        <v>-49126.498831928002</v>
      </c>
      <c r="I49" s="31">
        <v>0</v>
      </c>
      <c r="J49" s="31">
        <v>-222176</v>
      </c>
      <c r="K49" s="32"/>
      <c r="L49" s="33">
        <v>459506</v>
      </c>
      <c r="M49" s="31">
        <v>236432</v>
      </c>
      <c r="N49" s="31">
        <v>231834</v>
      </c>
      <c r="O49" s="31"/>
      <c r="P49" s="34">
        <v>35611</v>
      </c>
      <c r="Q49" s="31"/>
      <c r="R49" s="35">
        <v>120328</v>
      </c>
      <c r="S49" s="31">
        <v>661404</v>
      </c>
      <c r="T49" s="31">
        <v>175976.49320438551</v>
      </c>
      <c r="U49" s="31"/>
      <c r="V49" s="36">
        <v>374385</v>
      </c>
      <c r="W49" s="31"/>
      <c r="X49" s="37">
        <v>245320</v>
      </c>
      <c r="Y49" s="31"/>
      <c r="Z49" s="37">
        <v>90880</v>
      </c>
      <c r="AA49" s="31"/>
      <c r="AB49" s="38"/>
      <c r="AC49" s="31"/>
      <c r="AD49" s="39"/>
      <c r="AE49" s="39"/>
      <c r="AF49" s="39"/>
      <c r="AG49" s="39">
        <v>-475649</v>
      </c>
      <c r="AH49" s="31"/>
      <c r="AI49" s="40">
        <f t="shared" si="1"/>
        <v>-475649</v>
      </c>
    </row>
    <row r="50" spans="1:35" s="2" customFormat="1" ht="23.25" customHeight="1">
      <c r="A50" s="7" t="s">
        <v>12</v>
      </c>
      <c r="B50" s="14" t="s">
        <v>441</v>
      </c>
      <c r="C50" s="29" t="s">
        <v>5</v>
      </c>
      <c r="D50" s="15" t="s">
        <v>399</v>
      </c>
      <c r="E50" s="12"/>
      <c r="F50" s="31">
        <v>-21432569</v>
      </c>
      <c r="G50" s="31">
        <v>0</v>
      </c>
      <c r="H50" s="31">
        <v>0</v>
      </c>
      <c r="I50" s="31">
        <v>0</v>
      </c>
      <c r="J50" s="31">
        <v>-21432569</v>
      </c>
      <c r="K50" s="31"/>
      <c r="L50" s="31">
        <v>89682</v>
      </c>
      <c r="M50" s="31">
        <v>88662</v>
      </c>
      <c r="N50" s="31">
        <v>91572</v>
      </c>
      <c r="O50" s="31"/>
      <c r="P50" s="31">
        <v>37681</v>
      </c>
      <c r="Q50" s="31"/>
      <c r="R50" s="31">
        <v>97115</v>
      </c>
      <c r="S50" s="31">
        <v>763109</v>
      </c>
      <c r="T50" s="31">
        <v>174981.55796484623</v>
      </c>
      <c r="U50" s="31"/>
      <c r="V50" s="31">
        <v>272065</v>
      </c>
      <c r="W50" s="31"/>
      <c r="X50" s="31">
        <v>40402</v>
      </c>
      <c r="Y50" s="31"/>
      <c r="Z50" s="31">
        <v>0</v>
      </c>
      <c r="AA50" s="31"/>
      <c r="AB50" s="38"/>
      <c r="AC50" s="31"/>
      <c r="AD50" s="31"/>
      <c r="AE50" s="31"/>
      <c r="AF50" s="31"/>
      <c r="AG50" s="31">
        <v>-467582</v>
      </c>
      <c r="AH50" s="31"/>
      <c r="AI50" s="41">
        <f t="shared" si="1"/>
        <v>-467582</v>
      </c>
    </row>
    <row r="51" spans="1:35" s="2" customFormat="1" ht="23.25" customHeight="1">
      <c r="A51" s="6" t="s">
        <v>53</v>
      </c>
      <c r="B51" s="11" t="s">
        <v>54</v>
      </c>
      <c r="C51" s="28" t="s">
        <v>48</v>
      </c>
      <c r="D51" s="11" t="s">
        <v>399</v>
      </c>
      <c r="E51" s="12"/>
      <c r="F51" s="30">
        <v>0</v>
      </c>
      <c r="G51" s="31">
        <v>0</v>
      </c>
      <c r="H51" s="31">
        <v>0</v>
      </c>
      <c r="I51" s="31">
        <v>0</v>
      </c>
      <c r="J51" s="31">
        <v>0</v>
      </c>
      <c r="K51" s="32"/>
      <c r="L51" s="33">
        <v>59788</v>
      </c>
      <c r="M51" s="31">
        <v>59108</v>
      </c>
      <c r="N51" s="31">
        <v>61048</v>
      </c>
      <c r="O51" s="31"/>
      <c r="P51" s="34">
        <v>0</v>
      </c>
      <c r="Q51" s="31"/>
      <c r="R51" s="35">
        <v>25754</v>
      </c>
      <c r="S51" s="31">
        <v>124167</v>
      </c>
      <c r="T51" s="31">
        <v>22903.208717145902</v>
      </c>
      <c r="U51" s="31"/>
      <c r="V51" s="36">
        <v>39311</v>
      </c>
      <c r="W51" s="31"/>
      <c r="X51" s="37">
        <v>386</v>
      </c>
      <c r="Y51" s="31"/>
      <c r="Z51" s="37">
        <v>0</v>
      </c>
      <c r="AA51" s="31"/>
      <c r="AB51" s="38"/>
      <c r="AC51" s="31"/>
      <c r="AD51" s="39"/>
      <c r="AE51" s="39"/>
      <c r="AF51" s="39"/>
      <c r="AG51" s="39">
        <v>-85165</v>
      </c>
      <c r="AH51" s="31"/>
      <c r="AI51" s="40">
        <f t="shared" si="1"/>
        <v>-85165</v>
      </c>
    </row>
    <row r="52" spans="1:35" s="2" customFormat="1" ht="23.25" customHeight="1">
      <c r="A52" s="7" t="s">
        <v>446</v>
      </c>
      <c r="B52" s="14" t="s">
        <v>434</v>
      </c>
      <c r="C52" s="29" t="s">
        <v>435</v>
      </c>
      <c r="D52" s="15" t="s">
        <v>399</v>
      </c>
      <c r="E52" s="12"/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/>
      <c r="L52" s="31">
        <v>1434912</v>
      </c>
      <c r="M52" s="31">
        <v>265986</v>
      </c>
      <c r="N52" s="31">
        <v>274716</v>
      </c>
      <c r="O52" s="31"/>
      <c r="P52" s="31">
        <v>440395</v>
      </c>
      <c r="Q52" s="31"/>
      <c r="R52" s="31">
        <v>628898</v>
      </c>
      <c r="S52" s="31">
        <v>1494069</v>
      </c>
      <c r="T52" s="31">
        <v>263890.86267949449</v>
      </c>
      <c r="U52" s="31"/>
      <c r="V52" s="31">
        <v>2417509</v>
      </c>
      <c r="W52" s="31"/>
      <c r="X52" s="31">
        <v>157506</v>
      </c>
      <c r="Y52" s="31"/>
      <c r="Z52" s="31">
        <v>0</v>
      </c>
      <c r="AA52" s="31"/>
      <c r="AB52" s="38"/>
      <c r="AC52" s="31"/>
      <c r="AD52" s="31"/>
      <c r="AE52" s="31"/>
      <c r="AF52" s="31"/>
      <c r="AG52" s="31">
        <v>-1173277</v>
      </c>
      <c r="AH52" s="31"/>
      <c r="AI52" s="41">
        <f t="shared" si="1"/>
        <v>-1173277</v>
      </c>
    </row>
    <row r="53" spans="1:35" s="2" customFormat="1" ht="23.25" customHeight="1">
      <c r="A53" s="6" t="s">
        <v>125</v>
      </c>
      <c r="B53" s="11" t="s">
        <v>126</v>
      </c>
      <c r="C53" s="28" t="s">
        <v>8</v>
      </c>
      <c r="D53" s="11" t="s">
        <v>399</v>
      </c>
      <c r="E53" s="12"/>
      <c r="F53" s="30">
        <v>0</v>
      </c>
      <c r="G53" s="31">
        <v>0</v>
      </c>
      <c r="H53" s="31">
        <v>0</v>
      </c>
      <c r="I53" s="31">
        <v>0</v>
      </c>
      <c r="J53" s="31">
        <v>0</v>
      </c>
      <c r="K53" s="32"/>
      <c r="L53" s="33">
        <v>149470</v>
      </c>
      <c r="M53" s="31">
        <v>147770</v>
      </c>
      <c r="N53" s="31">
        <v>152620</v>
      </c>
      <c r="O53" s="31"/>
      <c r="P53" s="34">
        <v>123849</v>
      </c>
      <c r="Q53" s="31"/>
      <c r="R53" s="35">
        <v>90382</v>
      </c>
      <c r="S53" s="31">
        <v>481884</v>
      </c>
      <c r="T53" s="31">
        <v>109974.09487207305</v>
      </c>
      <c r="U53" s="31"/>
      <c r="V53" s="36">
        <v>353577</v>
      </c>
      <c r="W53" s="31"/>
      <c r="X53" s="37">
        <v>-35335</v>
      </c>
      <c r="Y53" s="31"/>
      <c r="Z53" s="37">
        <v>0</v>
      </c>
      <c r="AA53" s="31"/>
      <c r="AB53" s="38"/>
      <c r="AC53" s="31"/>
      <c r="AD53" s="39"/>
      <c r="AE53" s="39"/>
      <c r="AF53" s="39"/>
      <c r="AG53" s="39">
        <v>-481451</v>
      </c>
      <c r="AH53" s="31"/>
      <c r="AI53" s="40">
        <f t="shared" si="1"/>
        <v>-481451</v>
      </c>
    </row>
    <row r="54" spans="1:35" s="2" customFormat="1" ht="23.25" customHeight="1">
      <c r="A54" s="7" t="s">
        <v>214</v>
      </c>
      <c r="B54" s="14" t="s">
        <v>215</v>
      </c>
      <c r="C54" s="29" t="s">
        <v>8</v>
      </c>
      <c r="D54" s="15" t="s">
        <v>399</v>
      </c>
      <c r="E54" s="12"/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/>
      <c r="L54" s="31">
        <v>149470</v>
      </c>
      <c r="M54" s="31">
        <v>177324</v>
      </c>
      <c r="N54" s="31">
        <v>152620</v>
      </c>
      <c r="O54" s="31"/>
      <c r="P54" s="31">
        <v>47005</v>
      </c>
      <c r="Q54" s="31"/>
      <c r="R54" s="31">
        <v>119806</v>
      </c>
      <c r="S54" s="31">
        <v>638777</v>
      </c>
      <c r="T54" s="31">
        <v>144416.45826383738</v>
      </c>
      <c r="U54" s="31"/>
      <c r="V54" s="31">
        <v>616230</v>
      </c>
      <c r="W54" s="31"/>
      <c r="X54" s="31">
        <v>105714</v>
      </c>
      <c r="Y54" s="31"/>
      <c r="Z54" s="31">
        <v>0</v>
      </c>
      <c r="AA54" s="31"/>
      <c r="AB54" s="38"/>
      <c r="AC54" s="31"/>
      <c r="AD54" s="31"/>
      <c r="AE54" s="31"/>
      <c r="AF54" s="31"/>
      <c r="AG54" s="31">
        <v>-528965</v>
      </c>
      <c r="AH54" s="31"/>
      <c r="AI54" s="41">
        <f t="shared" si="1"/>
        <v>-528965</v>
      </c>
    </row>
    <row r="55" spans="1:35" s="2" customFormat="1" ht="23.25" customHeight="1">
      <c r="A55" s="6" t="s">
        <v>244</v>
      </c>
      <c r="B55" s="11" t="s">
        <v>245</v>
      </c>
      <c r="C55" s="28" t="s">
        <v>28</v>
      </c>
      <c r="D55" s="11" t="s">
        <v>399</v>
      </c>
      <c r="E55" s="12"/>
      <c r="F55" s="30">
        <v>0</v>
      </c>
      <c r="G55" s="31">
        <v>0</v>
      </c>
      <c r="H55" s="31">
        <v>0</v>
      </c>
      <c r="I55" s="31">
        <v>0</v>
      </c>
      <c r="J55" s="31">
        <v>0</v>
      </c>
      <c r="K55" s="32"/>
      <c r="L55" s="33">
        <v>0</v>
      </c>
      <c r="M55" s="31" t="s">
        <v>387</v>
      </c>
      <c r="N55" s="31">
        <v>0</v>
      </c>
      <c r="O55" s="31"/>
      <c r="P55" s="34">
        <v>0</v>
      </c>
      <c r="Q55" s="31"/>
      <c r="R55" s="35">
        <v>364</v>
      </c>
      <c r="S55" s="31">
        <v>6141</v>
      </c>
      <c r="T55" s="31">
        <v>0</v>
      </c>
      <c r="U55" s="31"/>
      <c r="V55" s="36">
        <v>0</v>
      </c>
      <c r="W55" s="31"/>
      <c r="X55" s="37">
        <v>0</v>
      </c>
      <c r="Y55" s="31"/>
      <c r="Z55" s="37">
        <v>0</v>
      </c>
      <c r="AA55" s="31"/>
      <c r="AB55" s="38"/>
      <c r="AC55" s="31"/>
      <c r="AD55" s="39"/>
      <c r="AE55" s="39"/>
      <c r="AF55" s="39"/>
      <c r="AG55" s="39">
        <v>-6741</v>
      </c>
      <c r="AH55" s="31"/>
      <c r="AI55" s="40">
        <f t="shared" si="1"/>
        <v>-6741</v>
      </c>
    </row>
    <row r="56" spans="1:35" s="2" customFormat="1" ht="23.25" customHeight="1">
      <c r="A56" s="7" t="s">
        <v>246</v>
      </c>
      <c r="B56" s="14" t="s">
        <v>247</v>
      </c>
      <c r="C56" s="29" t="s">
        <v>28</v>
      </c>
      <c r="D56" s="15" t="s">
        <v>399</v>
      </c>
      <c r="E56" s="12"/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/>
      <c r="L56" s="31">
        <v>0</v>
      </c>
      <c r="M56" s="31" t="s">
        <v>387</v>
      </c>
      <c r="N56" s="31">
        <v>0</v>
      </c>
      <c r="O56" s="31"/>
      <c r="P56" s="31">
        <v>0</v>
      </c>
      <c r="Q56" s="31"/>
      <c r="R56" s="31">
        <v>81</v>
      </c>
      <c r="S56" s="31">
        <v>1372</v>
      </c>
      <c r="T56" s="31">
        <v>0</v>
      </c>
      <c r="U56" s="31"/>
      <c r="V56" s="31">
        <v>0</v>
      </c>
      <c r="W56" s="31"/>
      <c r="X56" s="31">
        <v>-7990</v>
      </c>
      <c r="Y56" s="31"/>
      <c r="Z56" s="31">
        <v>0</v>
      </c>
      <c r="AA56" s="31"/>
      <c r="AB56" s="38"/>
      <c r="AC56" s="31"/>
      <c r="AD56" s="31"/>
      <c r="AE56" s="31"/>
      <c r="AF56" s="31"/>
      <c r="AG56" s="31">
        <v>-21271</v>
      </c>
      <c r="AH56" s="31"/>
      <c r="AI56" s="41">
        <f t="shared" si="1"/>
        <v>-21271</v>
      </c>
    </row>
    <row r="57" spans="1:35" s="2" customFormat="1" ht="23.25" customHeight="1">
      <c r="A57" s="6" t="s">
        <v>248</v>
      </c>
      <c r="B57" s="11" t="s">
        <v>249</v>
      </c>
      <c r="C57" s="28" t="s">
        <v>28</v>
      </c>
      <c r="D57" s="11" t="s">
        <v>399</v>
      </c>
      <c r="E57" s="12"/>
      <c r="F57" s="30">
        <v>0</v>
      </c>
      <c r="G57" s="31">
        <v>0</v>
      </c>
      <c r="H57" s="31">
        <v>0</v>
      </c>
      <c r="I57" s="31">
        <v>0</v>
      </c>
      <c r="J57" s="31">
        <v>0</v>
      </c>
      <c r="K57" s="32"/>
      <c r="L57" s="33">
        <v>0</v>
      </c>
      <c r="M57" s="31" t="s">
        <v>387</v>
      </c>
      <c r="N57" s="31" t="s">
        <v>387</v>
      </c>
      <c r="O57" s="31"/>
      <c r="P57" s="34">
        <v>0</v>
      </c>
      <c r="Q57" s="31"/>
      <c r="R57" s="35">
        <v>173</v>
      </c>
      <c r="S57" s="31">
        <v>2920</v>
      </c>
      <c r="T57" s="31">
        <v>0</v>
      </c>
      <c r="U57" s="31"/>
      <c r="V57" s="36">
        <v>0</v>
      </c>
      <c r="W57" s="31"/>
      <c r="X57" s="37">
        <v>1693</v>
      </c>
      <c r="Y57" s="31"/>
      <c r="Z57" s="37">
        <v>0</v>
      </c>
      <c r="AA57" s="31"/>
      <c r="AB57" s="38"/>
      <c r="AC57" s="31"/>
      <c r="AD57" s="39"/>
      <c r="AE57" s="39"/>
      <c r="AF57" s="39"/>
      <c r="AG57" s="39">
        <v>-29141</v>
      </c>
      <c r="AH57" s="31"/>
      <c r="AI57" s="40">
        <f t="shared" si="1"/>
        <v>-29141</v>
      </c>
    </row>
    <row r="58" spans="1:35" s="2" customFormat="1" ht="23.25" customHeight="1">
      <c r="A58" s="7" t="s">
        <v>250</v>
      </c>
      <c r="B58" s="14" t="s">
        <v>440</v>
      </c>
      <c r="C58" s="29" t="s">
        <v>43</v>
      </c>
      <c r="D58" s="15" t="s">
        <v>399</v>
      </c>
      <c r="E58" s="12"/>
      <c r="F58" s="31">
        <f>23643658-425000</f>
        <v>23218658</v>
      </c>
      <c r="G58" s="31">
        <v>0</v>
      </c>
      <c r="H58" s="31">
        <v>0</v>
      </c>
      <c r="I58" s="31">
        <v>0</v>
      </c>
      <c r="J58" s="31">
        <v>23643658</v>
      </c>
      <c r="K58" s="31"/>
      <c r="L58" s="31">
        <v>89682</v>
      </c>
      <c r="M58" s="31" t="s">
        <v>387</v>
      </c>
      <c r="N58" s="31">
        <v>91572</v>
      </c>
      <c r="O58" s="31"/>
      <c r="P58" s="31">
        <v>37059</v>
      </c>
      <c r="Q58" s="31"/>
      <c r="R58" s="31">
        <v>26662</v>
      </c>
      <c r="S58" s="31">
        <v>0</v>
      </c>
      <c r="T58" s="31">
        <v>0</v>
      </c>
      <c r="U58" s="31"/>
      <c r="V58" s="31">
        <v>68016</v>
      </c>
      <c r="W58" s="31"/>
      <c r="X58" s="31">
        <v>248320</v>
      </c>
      <c r="Y58" s="31"/>
      <c r="Z58" s="31">
        <v>435968</v>
      </c>
      <c r="AA58" s="31"/>
      <c r="AB58" s="38"/>
      <c r="AC58" s="31"/>
      <c r="AD58" s="31"/>
      <c r="AE58" s="31"/>
      <c r="AF58" s="31"/>
      <c r="AG58" s="31">
        <v>-140628</v>
      </c>
      <c r="AH58" s="31"/>
      <c r="AI58" s="41">
        <f t="shared" si="1"/>
        <v>-140628</v>
      </c>
    </row>
    <row r="59" spans="1:35" s="2" customFormat="1" ht="23.25" customHeight="1">
      <c r="A59" s="6" t="s">
        <v>124</v>
      </c>
      <c r="B59" s="11" t="s">
        <v>400</v>
      </c>
      <c r="C59" s="28" t="s">
        <v>38</v>
      </c>
      <c r="D59" s="11" t="s">
        <v>400</v>
      </c>
      <c r="E59" s="12"/>
      <c r="F59" s="30">
        <v>3500285.2096667793</v>
      </c>
      <c r="G59" s="31">
        <v>-7162.1003332209302</v>
      </c>
      <c r="H59" s="31">
        <v>0</v>
      </c>
      <c r="I59" s="31">
        <v>-213333</v>
      </c>
      <c r="J59" s="31">
        <v>3720780.31</v>
      </c>
      <c r="K59" s="32"/>
      <c r="L59" s="33">
        <v>119576</v>
      </c>
      <c r="M59" s="31">
        <v>177324</v>
      </c>
      <c r="N59" s="31">
        <v>91572</v>
      </c>
      <c r="O59" s="31"/>
      <c r="P59" s="34">
        <v>0</v>
      </c>
      <c r="Q59" s="31"/>
      <c r="R59" s="35">
        <v>191313</v>
      </c>
      <c r="S59" s="31">
        <v>886562</v>
      </c>
      <c r="T59" s="31">
        <v>186015.1925364701</v>
      </c>
      <c r="U59" s="31"/>
      <c r="V59" s="36">
        <v>403799</v>
      </c>
      <c r="W59" s="31"/>
      <c r="X59" s="37">
        <v>60463</v>
      </c>
      <c r="Y59" s="31"/>
      <c r="Z59" s="37">
        <v>50944</v>
      </c>
      <c r="AA59" s="31"/>
      <c r="AB59" s="38"/>
      <c r="AC59" s="31"/>
      <c r="AD59" s="39"/>
      <c r="AE59" s="39"/>
      <c r="AF59" s="39"/>
      <c r="AG59" s="39">
        <v>-653016</v>
      </c>
      <c r="AH59" s="31"/>
      <c r="AI59" s="40">
        <f t="shared" si="1"/>
        <v>-653016</v>
      </c>
    </row>
    <row r="60" spans="1:35" s="2" customFormat="1" ht="23.25" customHeight="1">
      <c r="A60" s="7" t="s">
        <v>55</v>
      </c>
      <c r="B60" s="14" t="s">
        <v>56</v>
      </c>
      <c r="C60" s="29" t="s">
        <v>11</v>
      </c>
      <c r="D60" s="15" t="s">
        <v>401</v>
      </c>
      <c r="E60" s="12"/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/>
      <c r="L60" s="31">
        <v>0</v>
      </c>
      <c r="M60" s="31" t="s">
        <v>387</v>
      </c>
      <c r="N60" s="31" t="s">
        <v>387</v>
      </c>
      <c r="O60" s="31"/>
      <c r="P60" s="31">
        <v>7371</v>
      </c>
      <c r="Q60" s="31"/>
      <c r="R60" s="31">
        <v>31266</v>
      </c>
      <c r="S60" s="31">
        <v>180457</v>
      </c>
      <c r="T60" s="31">
        <v>40591.31272255956</v>
      </c>
      <c r="U60" s="31"/>
      <c r="V60" s="31">
        <v>164198</v>
      </c>
      <c r="W60" s="31"/>
      <c r="X60" s="31">
        <v>4074</v>
      </c>
      <c r="Y60" s="31"/>
      <c r="Z60" s="31">
        <v>0</v>
      </c>
      <c r="AA60" s="31"/>
      <c r="AB60" s="38"/>
      <c r="AC60" s="31"/>
      <c r="AD60" s="31"/>
      <c r="AE60" s="31"/>
      <c r="AF60" s="31"/>
      <c r="AG60" s="31">
        <v>-109493</v>
      </c>
      <c r="AH60" s="31"/>
      <c r="AI60" s="41">
        <f t="shared" si="1"/>
        <v>-109493</v>
      </c>
    </row>
    <row r="61" spans="1:35" s="2" customFormat="1" ht="23.25" customHeight="1">
      <c r="A61" s="6" t="s">
        <v>74</v>
      </c>
      <c r="B61" s="11" t="s">
        <v>75</v>
      </c>
      <c r="C61" s="28" t="s">
        <v>8</v>
      </c>
      <c r="D61" s="11" t="s">
        <v>401</v>
      </c>
      <c r="E61" s="12"/>
      <c r="F61" s="30">
        <v>0</v>
      </c>
      <c r="G61" s="31">
        <v>0</v>
      </c>
      <c r="H61" s="31">
        <v>0</v>
      </c>
      <c r="I61" s="31">
        <v>0</v>
      </c>
      <c r="J61" s="31">
        <v>0</v>
      </c>
      <c r="K61" s="32"/>
      <c r="L61" s="33">
        <v>0</v>
      </c>
      <c r="M61" s="31" t="s">
        <v>387</v>
      </c>
      <c r="N61" s="31" t="s">
        <v>387</v>
      </c>
      <c r="O61" s="31"/>
      <c r="P61" s="34">
        <v>10064</v>
      </c>
      <c r="Q61" s="31"/>
      <c r="R61" s="35">
        <v>84008</v>
      </c>
      <c r="S61" s="31">
        <v>726413</v>
      </c>
      <c r="T61" s="31">
        <v>129779.9034371364</v>
      </c>
      <c r="U61" s="31"/>
      <c r="V61" s="36">
        <v>473097</v>
      </c>
      <c r="W61" s="31"/>
      <c r="X61" s="37">
        <v>0</v>
      </c>
      <c r="Y61" s="31"/>
      <c r="Z61" s="37">
        <v>0</v>
      </c>
      <c r="AA61" s="31"/>
      <c r="AB61" s="38"/>
      <c r="AC61" s="31"/>
      <c r="AD61" s="39"/>
      <c r="AE61" s="39"/>
      <c r="AF61" s="39"/>
      <c r="AG61" s="39">
        <v>-80991</v>
      </c>
      <c r="AH61" s="31"/>
      <c r="AI61" s="40">
        <f t="shared" si="1"/>
        <v>-80991</v>
      </c>
    </row>
    <row r="62" spans="1:35" s="2" customFormat="1" ht="23.25" customHeight="1">
      <c r="A62" s="7" t="s">
        <v>129</v>
      </c>
      <c r="B62" s="14" t="s">
        <v>130</v>
      </c>
      <c r="C62" s="29" t="s">
        <v>38</v>
      </c>
      <c r="D62" s="15" t="s">
        <v>401</v>
      </c>
      <c r="E62" s="12"/>
      <c r="F62" s="31">
        <v>-490894.63057432906</v>
      </c>
      <c r="G62" s="31">
        <v>-132794.02527589904</v>
      </c>
      <c r="H62" s="31">
        <v>48566.394701570003</v>
      </c>
      <c r="I62" s="31">
        <v>-406667</v>
      </c>
      <c r="J62" s="31">
        <v>0</v>
      </c>
      <c r="K62" s="31"/>
      <c r="L62" s="31">
        <v>627774</v>
      </c>
      <c r="M62" s="31">
        <v>591080</v>
      </c>
      <c r="N62" s="31">
        <v>610480</v>
      </c>
      <c r="O62" s="31"/>
      <c r="P62" s="31">
        <v>71425</v>
      </c>
      <c r="Q62" s="31"/>
      <c r="R62" s="31">
        <v>423475</v>
      </c>
      <c r="S62" s="31">
        <v>2104052</v>
      </c>
      <c r="T62" s="31">
        <v>423261.32351087261</v>
      </c>
      <c r="U62" s="31"/>
      <c r="V62" s="31">
        <v>1046077</v>
      </c>
      <c r="W62" s="31"/>
      <c r="X62" s="31">
        <v>133056</v>
      </c>
      <c r="Y62" s="31"/>
      <c r="Z62" s="31">
        <v>333824</v>
      </c>
      <c r="AA62" s="31"/>
      <c r="AB62" s="38"/>
      <c r="AC62" s="31"/>
      <c r="AD62" s="31"/>
      <c r="AE62" s="31"/>
      <c r="AF62" s="31"/>
      <c r="AG62" s="31">
        <v>-1756309</v>
      </c>
      <c r="AH62" s="31"/>
      <c r="AI62" s="41">
        <f t="shared" si="1"/>
        <v>-1756309</v>
      </c>
    </row>
    <row r="63" spans="1:35" s="2" customFormat="1" ht="23.25" customHeight="1">
      <c r="A63" s="6" t="s">
        <v>131</v>
      </c>
      <c r="B63" s="11" t="s">
        <v>132</v>
      </c>
      <c r="C63" s="28" t="s">
        <v>48</v>
      </c>
      <c r="D63" s="11" t="s">
        <v>401</v>
      </c>
      <c r="E63" s="12"/>
      <c r="F63" s="30">
        <v>-43392.107799999998</v>
      </c>
      <c r="G63" s="31">
        <v>0</v>
      </c>
      <c r="H63" s="31">
        <v>-43392.107799999998</v>
      </c>
      <c r="I63" s="31">
        <v>0</v>
      </c>
      <c r="J63" s="31">
        <v>0</v>
      </c>
      <c r="K63" s="32"/>
      <c r="L63" s="33">
        <v>388622</v>
      </c>
      <c r="M63" s="31">
        <v>443310</v>
      </c>
      <c r="N63" s="31">
        <v>366288</v>
      </c>
      <c r="O63" s="31"/>
      <c r="P63" s="34">
        <v>189652</v>
      </c>
      <c r="Q63" s="31"/>
      <c r="R63" s="35">
        <v>181921</v>
      </c>
      <c r="S63" s="31">
        <v>796346</v>
      </c>
      <c r="T63" s="31">
        <v>173924.59146359604</v>
      </c>
      <c r="U63" s="31"/>
      <c r="V63" s="36">
        <v>180826</v>
      </c>
      <c r="W63" s="31"/>
      <c r="X63" s="37">
        <v>200068</v>
      </c>
      <c r="Y63" s="31"/>
      <c r="Z63" s="37">
        <v>0</v>
      </c>
      <c r="AA63" s="31"/>
      <c r="AB63" s="38"/>
      <c r="AC63" s="31"/>
      <c r="AD63" s="39"/>
      <c r="AE63" s="39"/>
      <c r="AF63" s="39"/>
      <c r="AG63" s="39">
        <v>-810673</v>
      </c>
      <c r="AH63" s="31"/>
      <c r="AI63" s="40">
        <f t="shared" si="1"/>
        <v>-810673</v>
      </c>
    </row>
    <row r="64" spans="1:35" s="2" customFormat="1" ht="23.25" customHeight="1">
      <c r="A64" s="7" t="s">
        <v>133</v>
      </c>
      <c r="B64" s="14" t="s">
        <v>134</v>
      </c>
      <c r="C64" s="29" t="s">
        <v>8</v>
      </c>
      <c r="D64" s="15" t="s">
        <v>401</v>
      </c>
      <c r="E64" s="12"/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/>
      <c r="L64" s="31">
        <v>508198</v>
      </c>
      <c r="M64" s="31">
        <v>502418</v>
      </c>
      <c r="N64" s="31">
        <v>518908</v>
      </c>
      <c r="O64" s="31"/>
      <c r="P64" s="31">
        <v>153839</v>
      </c>
      <c r="Q64" s="31"/>
      <c r="R64" s="31">
        <v>136127</v>
      </c>
      <c r="S64" s="31">
        <v>675679</v>
      </c>
      <c r="T64" s="31">
        <v>126142.72471549608</v>
      </c>
      <c r="U64" s="31"/>
      <c r="V64" s="31">
        <v>245798</v>
      </c>
      <c r="W64" s="31"/>
      <c r="X64" s="31">
        <v>186371</v>
      </c>
      <c r="Y64" s="31"/>
      <c r="Z64" s="31">
        <v>0</v>
      </c>
      <c r="AA64" s="31"/>
      <c r="AB64" s="38"/>
      <c r="AC64" s="31"/>
      <c r="AD64" s="31"/>
      <c r="AE64" s="31"/>
      <c r="AF64" s="31"/>
      <c r="AG64" s="31">
        <v>-634384</v>
      </c>
      <c r="AH64" s="31"/>
      <c r="AI64" s="41">
        <f t="shared" si="1"/>
        <v>-634384</v>
      </c>
    </row>
    <row r="65" spans="1:35" s="2" customFormat="1" ht="23.25" customHeight="1">
      <c r="A65" s="6" t="s">
        <v>189</v>
      </c>
      <c r="B65" s="11" t="s">
        <v>190</v>
      </c>
      <c r="C65" s="28" t="s">
        <v>38</v>
      </c>
      <c r="D65" s="11" t="s">
        <v>401</v>
      </c>
      <c r="E65" s="12"/>
      <c r="F65" s="30">
        <v>-127683.79749147341</v>
      </c>
      <c r="G65" s="31">
        <v>112316.20250852659</v>
      </c>
      <c r="H65" s="31">
        <v>0</v>
      </c>
      <c r="I65" s="31">
        <v>-240000</v>
      </c>
      <c r="J65" s="31">
        <v>0</v>
      </c>
      <c r="K65" s="32"/>
      <c r="L65" s="33">
        <v>478304</v>
      </c>
      <c r="M65" s="31">
        <v>443310</v>
      </c>
      <c r="N65" s="31">
        <v>488384</v>
      </c>
      <c r="O65" s="31"/>
      <c r="P65" s="34">
        <v>209578</v>
      </c>
      <c r="Q65" s="31"/>
      <c r="R65" s="35">
        <v>149541</v>
      </c>
      <c r="S65" s="31">
        <v>796402</v>
      </c>
      <c r="T65" s="31">
        <v>136014.72144141461</v>
      </c>
      <c r="U65" s="31"/>
      <c r="V65" s="36">
        <v>548725</v>
      </c>
      <c r="W65" s="31"/>
      <c r="X65" s="37">
        <v>80100</v>
      </c>
      <c r="Y65" s="31"/>
      <c r="Z65" s="37">
        <v>0</v>
      </c>
      <c r="AA65" s="31"/>
      <c r="AB65" s="38"/>
      <c r="AC65" s="31"/>
      <c r="AD65" s="39"/>
      <c r="AE65" s="39"/>
      <c r="AF65" s="39"/>
      <c r="AG65" s="39">
        <v>-575515</v>
      </c>
      <c r="AH65" s="31"/>
      <c r="AI65" s="40">
        <f t="shared" si="1"/>
        <v>-575515</v>
      </c>
    </row>
    <row r="66" spans="1:35" s="2" customFormat="1" ht="23.25" customHeight="1">
      <c r="A66" s="7" t="s">
        <v>251</v>
      </c>
      <c r="B66" s="14" t="s">
        <v>252</v>
      </c>
      <c r="C66" s="29" t="s">
        <v>28</v>
      </c>
      <c r="D66" s="15" t="s">
        <v>401</v>
      </c>
      <c r="E66" s="12"/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/>
      <c r="L66" s="31">
        <v>0</v>
      </c>
      <c r="M66" s="31" t="s">
        <v>387</v>
      </c>
      <c r="N66" s="31">
        <v>0</v>
      </c>
      <c r="O66" s="31"/>
      <c r="P66" s="31">
        <v>0</v>
      </c>
      <c r="Q66" s="31"/>
      <c r="R66" s="31">
        <v>344</v>
      </c>
      <c r="S66" s="31">
        <v>5816</v>
      </c>
      <c r="T66" s="31">
        <v>0</v>
      </c>
      <c r="U66" s="31"/>
      <c r="V66" s="31">
        <v>0</v>
      </c>
      <c r="W66" s="31"/>
      <c r="X66" s="31">
        <v>0</v>
      </c>
      <c r="Y66" s="31"/>
      <c r="Z66" s="31">
        <v>0</v>
      </c>
      <c r="AA66" s="31"/>
      <c r="AB66" s="38"/>
      <c r="AC66" s="31"/>
      <c r="AD66" s="31"/>
      <c r="AE66" s="31"/>
      <c r="AF66" s="31"/>
      <c r="AG66" s="31">
        <v>-7939</v>
      </c>
      <c r="AH66" s="31"/>
      <c r="AI66" s="41">
        <f t="shared" si="1"/>
        <v>-7939</v>
      </c>
    </row>
    <row r="67" spans="1:35" s="2" customFormat="1" ht="23.25" customHeight="1">
      <c r="A67" s="6" t="s">
        <v>253</v>
      </c>
      <c r="B67" s="11" t="s">
        <v>254</v>
      </c>
      <c r="C67" s="28" t="s">
        <v>28</v>
      </c>
      <c r="D67" s="11" t="s">
        <v>401</v>
      </c>
      <c r="E67" s="12"/>
      <c r="F67" s="30">
        <v>-10498</v>
      </c>
      <c r="G67" s="31">
        <v>0</v>
      </c>
      <c r="H67" s="31">
        <v>0</v>
      </c>
      <c r="I67" s="31">
        <v>0</v>
      </c>
      <c r="J67" s="31">
        <v>-10498</v>
      </c>
      <c r="K67" s="32"/>
      <c r="L67" s="33">
        <v>0</v>
      </c>
      <c r="M67" s="31" t="s">
        <v>387</v>
      </c>
      <c r="N67" s="31">
        <v>0</v>
      </c>
      <c r="O67" s="31"/>
      <c r="P67" s="34">
        <v>0</v>
      </c>
      <c r="Q67" s="31"/>
      <c r="R67" s="35">
        <v>187</v>
      </c>
      <c r="S67" s="31">
        <v>3145</v>
      </c>
      <c r="T67" s="31">
        <v>0</v>
      </c>
      <c r="U67" s="31"/>
      <c r="V67" s="36">
        <v>0</v>
      </c>
      <c r="W67" s="31"/>
      <c r="X67" s="37">
        <v>29289</v>
      </c>
      <c r="Y67" s="31"/>
      <c r="Z67" s="37">
        <v>0</v>
      </c>
      <c r="AA67" s="31"/>
      <c r="AB67" s="38"/>
      <c r="AC67" s="31"/>
      <c r="AD67" s="39"/>
      <c r="AE67" s="39"/>
      <c r="AF67" s="39"/>
      <c r="AG67" s="39">
        <v>-37244</v>
      </c>
      <c r="AH67" s="31"/>
      <c r="AI67" s="40">
        <f t="shared" si="1"/>
        <v>-37244</v>
      </c>
    </row>
    <row r="68" spans="1:35" s="2" customFormat="1" ht="23.25" customHeight="1">
      <c r="A68" s="7" t="s">
        <v>255</v>
      </c>
      <c r="B68" s="14" t="s">
        <v>256</v>
      </c>
      <c r="C68" s="29" t="s">
        <v>28</v>
      </c>
      <c r="D68" s="15" t="s">
        <v>401</v>
      </c>
      <c r="E68" s="12"/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/>
      <c r="L68" s="31">
        <v>0</v>
      </c>
      <c r="M68" s="31" t="s">
        <v>387</v>
      </c>
      <c r="N68" s="31">
        <v>0</v>
      </c>
      <c r="O68" s="31"/>
      <c r="P68" s="31">
        <v>0</v>
      </c>
      <c r="Q68" s="31"/>
      <c r="R68" s="31">
        <v>3064</v>
      </c>
      <c r="S68" s="31">
        <v>51780</v>
      </c>
      <c r="T68" s="31">
        <v>0</v>
      </c>
      <c r="U68" s="31"/>
      <c r="V68" s="31">
        <v>0</v>
      </c>
      <c r="W68" s="31"/>
      <c r="X68" s="31">
        <v>-26938</v>
      </c>
      <c r="Y68" s="31"/>
      <c r="Z68" s="31">
        <v>0</v>
      </c>
      <c r="AA68" s="31"/>
      <c r="AB68" s="38"/>
      <c r="AC68" s="31"/>
      <c r="AD68" s="31"/>
      <c r="AE68" s="31"/>
      <c r="AF68" s="31"/>
      <c r="AG68" s="31">
        <v>-359874</v>
      </c>
      <c r="AH68" s="31"/>
      <c r="AI68" s="41">
        <f t="shared" si="1"/>
        <v>-359874</v>
      </c>
    </row>
    <row r="69" spans="1:35" s="2" customFormat="1" ht="23.25" customHeight="1">
      <c r="A69" s="6" t="s">
        <v>257</v>
      </c>
      <c r="B69" s="11" t="s">
        <v>258</v>
      </c>
      <c r="C69" s="28" t="s">
        <v>43</v>
      </c>
      <c r="D69" s="11" t="s">
        <v>401</v>
      </c>
      <c r="E69" s="12"/>
      <c r="F69" s="30">
        <v>3676982.7142482596</v>
      </c>
      <c r="G69" s="31">
        <v>0</v>
      </c>
      <c r="H69" s="31">
        <v>0</v>
      </c>
      <c r="I69" s="31">
        <v>0</v>
      </c>
      <c r="J69" s="31">
        <v>3676982.7142482596</v>
      </c>
      <c r="K69" s="32"/>
      <c r="L69" s="33">
        <v>1106078</v>
      </c>
      <c r="M69" s="31" t="s">
        <v>387</v>
      </c>
      <c r="N69" s="31">
        <v>1098864</v>
      </c>
      <c r="O69" s="31"/>
      <c r="P69" s="34">
        <v>120768</v>
      </c>
      <c r="Q69" s="31"/>
      <c r="R69" s="35">
        <v>2601</v>
      </c>
      <c r="S69" s="31">
        <v>0</v>
      </c>
      <c r="T69" s="31">
        <v>0</v>
      </c>
      <c r="U69" s="31"/>
      <c r="V69" s="36">
        <v>0</v>
      </c>
      <c r="W69" s="31"/>
      <c r="X69" s="37">
        <v>0</v>
      </c>
      <c r="Y69" s="31"/>
      <c r="Z69" s="37">
        <v>0</v>
      </c>
      <c r="AA69" s="31"/>
      <c r="AB69" s="38"/>
      <c r="AC69" s="31"/>
      <c r="AD69" s="39"/>
      <c r="AE69" s="39"/>
      <c r="AF69" s="39"/>
      <c r="AG69" s="39">
        <v>-712</v>
      </c>
      <c r="AH69" s="31"/>
      <c r="AI69" s="40">
        <f t="shared" si="1"/>
        <v>-712</v>
      </c>
    </row>
    <row r="70" spans="1:35" s="2" customFormat="1" ht="23.25" customHeight="1">
      <c r="A70" s="7" t="s">
        <v>259</v>
      </c>
      <c r="B70" s="14" t="s">
        <v>260</v>
      </c>
      <c r="C70" s="29" t="s">
        <v>28</v>
      </c>
      <c r="D70" s="15" t="s">
        <v>401</v>
      </c>
      <c r="E70" s="12"/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/>
      <c r="L70" s="31"/>
      <c r="M70" s="31" t="s">
        <v>387</v>
      </c>
      <c r="N70" s="31" t="s">
        <v>387</v>
      </c>
      <c r="O70" s="31"/>
      <c r="P70" s="31" t="s">
        <v>387</v>
      </c>
      <c r="Q70" s="31"/>
      <c r="R70" s="31" t="s">
        <v>387</v>
      </c>
      <c r="S70" s="31">
        <v>226</v>
      </c>
      <c r="T70" s="31">
        <v>0</v>
      </c>
      <c r="U70" s="31"/>
      <c r="V70" s="31" t="s">
        <v>387</v>
      </c>
      <c r="W70" s="31"/>
      <c r="X70" s="31">
        <v>0</v>
      </c>
      <c r="Y70" s="31"/>
      <c r="Z70" s="31">
        <v>0</v>
      </c>
      <c r="AA70" s="31"/>
      <c r="AB70" s="38"/>
      <c r="AC70" s="31"/>
      <c r="AD70" s="31"/>
      <c r="AE70" s="31"/>
      <c r="AF70" s="31"/>
      <c r="AG70" s="31">
        <v>-10851</v>
      </c>
      <c r="AH70" s="31"/>
      <c r="AI70" s="41">
        <f t="shared" si="1"/>
        <v>-10851</v>
      </c>
    </row>
    <row r="71" spans="1:35" s="2" customFormat="1" ht="23.25" customHeight="1">
      <c r="A71" s="6" t="s">
        <v>261</v>
      </c>
      <c r="B71" s="11" t="s">
        <v>262</v>
      </c>
      <c r="C71" s="28" t="s">
        <v>28</v>
      </c>
      <c r="D71" s="11" t="s">
        <v>402</v>
      </c>
      <c r="E71" s="12"/>
      <c r="F71" s="30">
        <v>0</v>
      </c>
      <c r="G71" s="31">
        <v>0</v>
      </c>
      <c r="H71" s="31">
        <v>0</v>
      </c>
      <c r="I71" s="31">
        <v>0</v>
      </c>
      <c r="J71" s="31">
        <v>0</v>
      </c>
      <c r="K71" s="32"/>
      <c r="L71" s="33">
        <v>0</v>
      </c>
      <c r="M71" s="31" t="s">
        <v>387</v>
      </c>
      <c r="N71" s="31">
        <v>0</v>
      </c>
      <c r="O71" s="31"/>
      <c r="P71" s="34">
        <v>0</v>
      </c>
      <c r="Q71" s="31"/>
      <c r="R71" s="35">
        <v>187</v>
      </c>
      <c r="S71" s="31">
        <v>3159</v>
      </c>
      <c r="T71" s="31">
        <v>0</v>
      </c>
      <c r="U71" s="31"/>
      <c r="V71" s="36">
        <v>0</v>
      </c>
      <c r="W71" s="31"/>
      <c r="X71" s="37">
        <v>0</v>
      </c>
      <c r="Y71" s="31"/>
      <c r="Z71" s="37">
        <v>2304</v>
      </c>
      <c r="AA71" s="31"/>
      <c r="AB71" s="38"/>
      <c r="AC71" s="31"/>
      <c r="AD71" s="39"/>
      <c r="AE71" s="39"/>
      <c r="AF71" s="39"/>
      <c r="AG71" s="39">
        <v>-56902</v>
      </c>
      <c r="AH71" s="31"/>
      <c r="AI71" s="40">
        <f t="shared" ref="AI71:AI101" si="2">SUM(AD71:AG71)</f>
        <v>-56902</v>
      </c>
    </row>
    <row r="72" spans="1:35" s="2" customFormat="1" ht="23.25" customHeight="1">
      <c r="A72" s="7" t="s">
        <v>80</v>
      </c>
      <c r="B72" s="14" t="s">
        <v>81</v>
      </c>
      <c r="C72" s="29" t="s">
        <v>5</v>
      </c>
      <c r="D72" s="15" t="s">
        <v>403</v>
      </c>
      <c r="E72" s="12"/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/>
      <c r="L72" s="31">
        <v>59788</v>
      </c>
      <c r="M72" s="31" t="s">
        <v>387</v>
      </c>
      <c r="N72" s="31">
        <v>30524</v>
      </c>
      <c r="O72" s="31"/>
      <c r="P72" s="31">
        <v>10064</v>
      </c>
      <c r="Q72" s="31"/>
      <c r="R72" s="31">
        <v>9419</v>
      </c>
      <c r="S72" s="31">
        <v>56389</v>
      </c>
      <c r="T72" s="31">
        <v>9117.1228688871415</v>
      </c>
      <c r="U72" s="31"/>
      <c r="V72" s="31">
        <v>60833</v>
      </c>
      <c r="W72" s="31"/>
      <c r="X72" s="31">
        <v>3660</v>
      </c>
      <c r="Y72" s="31"/>
      <c r="Z72" s="31">
        <v>0</v>
      </c>
      <c r="AA72" s="31"/>
      <c r="AB72" s="38"/>
      <c r="AC72" s="31"/>
      <c r="AD72" s="31"/>
      <c r="AE72" s="31"/>
      <c r="AF72" s="31"/>
      <c r="AG72" s="31">
        <v>-49817</v>
      </c>
      <c r="AH72" s="31"/>
      <c r="AI72" s="41">
        <f t="shared" si="2"/>
        <v>-49817</v>
      </c>
    </row>
    <row r="73" spans="1:35" s="2" customFormat="1" ht="23.25" customHeight="1">
      <c r="A73" s="6" t="s">
        <v>137</v>
      </c>
      <c r="B73" s="11" t="s">
        <v>138</v>
      </c>
      <c r="C73" s="28" t="s">
        <v>107</v>
      </c>
      <c r="D73" s="11" t="s">
        <v>403</v>
      </c>
      <c r="E73" s="12"/>
      <c r="F73" s="30">
        <v>-75724.647740598011</v>
      </c>
      <c r="G73" s="31">
        <v>132770</v>
      </c>
      <c r="H73" s="31">
        <v>-41827.647740598004</v>
      </c>
      <c r="I73" s="31">
        <v>-166667</v>
      </c>
      <c r="J73" s="31">
        <v>0</v>
      </c>
      <c r="K73" s="32"/>
      <c r="L73" s="33">
        <v>448410</v>
      </c>
      <c r="M73" s="31">
        <v>354648</v>
      </c>
      <c r="N73" s="31">
        <v>366288</v>
      </c>
      <c r="O73" s="31"/>
      <c r="P73" s="34">
        <v>155370</v>
      </c>
      <c r="Q73" s="31"/>
      <c r="R73" s="35">
        <v>433093</v>
      </c>
      <c r="S73" s="31">
        <v>2139155</v>
      </c>
      <c r="T73" s="31">
        <v>460003.46609351679</v>
      </c>
      <c r="U73" s="31"/>
      <c r="V73" s="36">
        <v>1400981</v>
      </c>
      <c r="W73" s="31"/>
      <c r="X73" s="37">
        <v>136728</v>
      </c>
      <c r="Y73" s="31"/>
      <c r="Z73" s="37">
        <v>0</v>
      </c>
      <c r="AA73" s="31"/>
      <c r="AB73" s="38"/>
      <c r="AC73" s="31"/>
      <c r="AD73" s="39"/>
      <c r="AE73" s="39"/>
      <c r="AF73" s="39"/>
      <c r="AG73" s="39">
        <v>-1848049</v>
      </c>
      <c r="AH73" s="31"/>
      <c r="AI73" s="40">
        <f t="shared" si="2"/>
        <v>-1848049</v>
      </c>
    </row>
    <row r="74" spans="1:35" s="2" customFormat="1" ht="23.25" customHeight="1">
      <c r="A74" s="7" t="s">
        <v>139</v>
      </c>
      <c r="B74" s="14" t="s">
        <v>140</v>
      </c>
      <c r="C74" s="29" t="s">
        <v>48</v>
      </c>
      <c r="D74" s="15" t="s">
        <v>403</v>
      </c>
      <c r="E74" s="12"/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/>
      <c r="L74" s="31">
        <v>209258</v>
      </c>
      <c r="M74" s="31">
        <v>206878</v>
      </c>
      <c r="N74" s="31">
        <v>183144</v>
      </c>
      <c r="O74" s="31"/>
      <c r="P74" s="31">
        <v>14743</v>
      </c>
      <c r="Q74" s="31"/>
      <c r="R74" s="31">
        <v>142387</v>
      </c>
      <c r="S74" s="31">
        <v>672736</v>
      </c>
      <c r="T74" s="31">
        <v>157495.40190192999</v>
      </c>
      <c r="U74" s="31"/>
      <c r="V74" s="31">
        <v>24582</v>
      </c>
      <c r="W74" s="31"/>
      <c r="X74" s="31">
        <v>317423</v>
      </c>
      <c r="Y74" s="31"/>
      <c r="Z74" s="31">
        <v>0</v>
      </c>
      <c r="AA74" s="31"/>
      <c r="AB74" s="38"/>
      <c r="AC74" s="31"/>
      <c r="AD74" s="31"/>
      <c r="AE74" s="31"/>
      <c r="AF74" s="31"/>
      <c r="AG74" s="31">
        <v>-514141</v>
      </c>
      <c r="AH74" s="31"/>
      <c r="AI74" s="41">
        <f t="shared" si="2"/>
        <v>-514141</v>
      </c>
    </row>
    <row r="75" spans="1:35" s="2" customFormat="1" ht="23.25" customHeight="1">
      <c r="A75" s="6" t="s">
        <v>147</v>
      </c>
      <c r="B75" s="11" t="s">
        <v>148</v>
      </c>
      <c r="C75" s="28" t="s">
        <v>5</v>
      </c>
      <c r="D75" s="11" t="s">
        <v>403</v>
      </c>
      <c r="E75" s="12"/>
      <c r="F75" s="30">
        <v>0</v>
      </c>
      <c r="G75" s="31">
        <v>0</v>
      </c>
      <c r="H75" s="31">
        <v>0</v>
      </c>
      <c r="I75" s="31">
        <v>0</v>
      </c>
      <c r="J75" s="31">
        <v>0</v>
      </c>
      <c r="K75" s="32"/>
      <c r="L75" s="33">
        <v>418516</v>
      </c>
      <c r="M75" s="31">
        <v>413756</v>
      </c>
      <c r="N75" s="31">
        <v>396812</v>
      </c>
      <c r="O75" s="31"/>
      <c r="P75" s="34">
        <v>13497</v>
      </c>
      <c r="Q75" s="31"/>
      <c r="R75" s="35">
        <v>13860</v>
      </c>
      <c r="S75" s="31">
        <v>110916</v>
      </c>
      <c r="T75" s="31">
        <v>19524.468285617571</v>
      </c>
      <c r="U75" s="31"/>
      <c r="V75" s="36">
        <v>0</v>
      </c>
      <c r="W75" s="31"/>
      <c r="X75" s="37">
        <v>66347</v>
      </c>
      <c r="Y75" s="31"/>
      <c r="Z75" s="37">
        <v>0</v>
      </c>
      <c r="AA75" s="31"/>
      <c r="AB75" s="38"/>
      <c r="AC75" s="31"/>
      <c r="AD75" s="39"/>
      <c r="AE75" s="39"/>
      <c r="AF75" s="39"/>
      <c r="AG75" s="39">
        <v>-147827</v>
      </c>
      <c r="AH75" s="31"/>
      <c r="AI75" s="40">
        <f t="shared" si="2"/>
        <v>-147827</v>
      </c>
    </row>
    <row r="76" spans="1:35" s="2" customFormat="1" ht="23.25" customHeight="1">
      <c r="A76" s="7" t="s">
        <v>175</v>
      </c>
      <c r="B76" s="14" t="s">
        <v>176</v>
      </c>
      <c r="C76" s="29" t="s">
        <v>48</v>
      </c>
      <c r="D76" s="15" t="s">
        <v>403</v>
      </c>
      <c r="E76" s="12"/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/>
      <c r="L76" s="31">
        <v>269046</v>
      </c>
      <c r="M76" s="31">
        <v>88662</v>
      </c>
      <c r="N76" s="31">
        <v>244192</v>
      </c>
      <c r="O76" s="31"/>
      <c r="P76" s="31">
        <v>34366</v>
      </c>
      <c r="Q76" s="31"/>
      <c r="R76" s="31">
        <v>82210</v>
      </c>
      <c r="S76" s="31">
        <v>425046</v>
      </c>
      <c r="T76" s="31">
        <v>93737.774453218502</v>
      </c>
      <c r="U76" s="31"/>
      <c r="V76" s="31">
        <v>192675</v>
      </c>
      <c r="W76" s="31"/>
      <c r="X76" s="31">
        <v>43346</v>
      </c>
      <c r="Y76" s="31"/>
      <c r="Z76" s="31">
        <v>0</v>
      </c>
      <c r="AA76" s="31"/>
      <c r="AB76" s="38"/>
      <c r="AC76" s="31"/>
      <c r="AD76" s="31"/>
      <c r="AE76" s="31"/>
      <c r="AF76" s="31"/>
      <c r="AG76" s="31">
        <v>-347314</v>
      </c>
      <c r="AH76" s="31"/>
      <c r="AI76" s="41">
        <f t="shared" si="2"/>
        <v>-347314</v>
      </c>
    </row>
    <row r="77" spans="1:35" s="2" customFormat="1" ht="23.25" customHeight="1">
      <c r="A77" s="6" t="s">
        <v>263</v>
      </c>
      <c r="B77" s="11" t="s">
        <v>264</v>
      </c>
      <c r="C77" s="28" t="s">
        <v>28</v>
      </c>
      <c r="D77" s="11" t="s">
        <v>403</v>
      </c>
      <c r="E77" s="12"/>
      <c r="F77" s="30">
        <v>0</v>
      </c>
      <c r="G77" s="31">
        <v>0</v>
      </c>
      <c r="H77" s="31">
        <v>0</v>
      </c>
      <c r="I77" s="31">
        <v>0</v>
      </c>
      <c r="J77" s="31">
        <v>0</v>
      </c>
      <c r="K77" s="32"/>
      <c r="L77" s="33"/>
      <c r="M77" s="31" t="s">
        <v>387</v>
      </c>
      <c r="N77" s="31">
        <v>0</v>
      </c>
      <c r="O77" s="31"/>
      <c r="P77" s="34" t="s">
        <v>387</v>
      </c>
      <c r="Q77" s="31"/>
      <c r="R77" s="35" t="s">
        <v>387</v>
      </c>
      <c r="S77" s="31">
        <v>0</v>
      </c>
      <c r="T77" s="31">
        <v>0</v>
      </c>
      <c r="U77" s="31"/>
      <c r="V77" s="36" t="s">
        <v>387</v>
      </c>
      <c r="W77" s="31"/>
      <c r="X77" s="37">
        <v>0</v>
      </c>
      <c r="Y77" s="31"/>
      <c r="Z77" s="37">
        <v>295424</v>
      </c>
      <c r="AA77" s="31"/>
      <c r="AB77" s="38"/>
      <c r="AC77" s="31"/>
      <c r="AD77" s="39"/>
      <c r="AE77" s="39"/>
      <c r="AF77" s="39"/>
      <c r="AG77" s="39">
        <v>0</v>
      </c>
      <c r="AH77" s="31"/>
      <c r="AI77" s="40">
        <f t="shared" si="2"/>
        <v>0</v>
      </c>
    </row>
    <row r="78" spans="1:35" s="2" customFormat="1" ht="23.25" customHeight="1">
      <c r="A78" s="7" t="s">
        <v>127</v>
      </c>
      <c r="B78" s="14" t="s">
        <v>128</v>
      </c>
      <c r="C78" s="29" t="s">
        <v>2</v>
      </c>
      <c r="D78" s="15" t="s">
        <v>404</v>
      </c>
      <c r="E78" s="12"/>
      <c r="F78" s="31">
        <v>19209</v>
      </c>
      <c r="G78" s="31">
        <v>59209</v>
      </c>
      <c r="H78" s="31">
        <v>0</v>
      </c>
      <c r="I78" s="31">
        <v>-40000</v>
      </c>
      <c r="J78" s="31">
        <v>0</v>
      </c>
      <c r="K78" s="31"/>
      <c r="L78" s="31">
        <v>119576</v>
      </c>
      <c r="M78" s="31">
        <v>29554</v>
      </c>
      <c r="N78" s="31" t="s">
        <v>387</v>
      </c>
      <c r="O78" s="31"/>
      <c r="P78" s="31">
        <v>427790</v>
      </c>
      <c r="Q78" s="31"/>
      <c r="R78" s="31">
        <v>727477</v>
      </c>
      <c r="S78" s="31">
        <v>3402928</v>
      </c>
      <c r="T78" s="31">
        <v>629494.65652917454</v>
      </c>
      <c r="U78" s="31"/>
      <c r="V78" s="31">
        <v>2634712</v>
      </c>
      <c r="W78" s="31"/>
      <c r="X78" s="31">
        <v>161954</v>
      </c>
      <c r="Y78" s="31"/>
      <c r="Z78" s="31">
        <v>173824</v>
      </c>
      <c r="AA78" s="31"/>
      <c r="AB78" s="38"/>
      <c r="AC78" s="31"/>
      <c r="AD78" s="31"/>
      <c r="AE78" s="31"/>
      <c r="AF78" s="31"/>
      <c r="AG78" s="31">
        <v>-2737338</v>
      </c>
      <c r="AH78" s="31"/>
      <c r="AI78" s="41">
        <f t="shared" si="2"/>
        <v>-2737338</v>
      </c>
    </row>
    <row r="79" spans="1:35" s="2" customFormat="1" ht="23.25" customHeight="1">
      <c r="A79" s="6" t="s">
        <v>6</v>
      </c>
      <c r="B79" s="11" t="s">
        <v>7</v>
      </c>
      <c r="C79" s="28" t="s">
        <v>8</v>
      </c>
      <c r="D79" s="11" t="s">
        <v>405</v>
      </c>
      <c r="E79" s="12"/>
      <c r="F79" s="30">
        <v>-278657.14799714851</v>
      </c>
      <c r="G79" s="31">
        <v>-45324.14799714851</v>
      </c>
      <c r="H79" s="31">
        <v>0</v>
      </c>
      <c r="I79" s="31">
        <v>-233333</v>
      </c>
      <c r="J79" s="31">
        <v>0</v>
      </c>
      <c r="K79" s="32"/>
      <c r="L79" s="33">
        <v>478304</v>
      </c>
      <c r="M79" s="31">
        <v>650188</v>
      </c>
      <c r="N79" s="31">
        <v>488384</v>
      </c>
      <c r="O79" s="31"/>
      <c r="P79" s="34">
        <v>204631</v>
      </c>
      <c r="Q79" s="31"/>
      <c r="R79" s="35">
        <v>170211</v>
      </c>
      <c r="S79" s="31">
        <v>841081</v>
      </c>
      <c r="T79" s="31">
        <v>147719.4238612582</v>
      </c>
      <c r="U79" s="31"/>
      <c r="V79" s="36">
        <v>454320</v>
      </c>
      <c r="W79" s="31"/>
      <c r="X79" s="37">
        <v>210818</v>
      </c>
      <c r="Y79" s="31"/>
      <c r="Z79" s="37">
        <v>0</v>
      </c>
      <c r="AA79" s="31"/>
      <c r="AB79" s="38"/>
      <c r="AC79" s="31"/>
      <c r="AD79" s="39"/>
      <c r="AE79" s="39"/>
      <c r="AF79" s="39"/>
      <c r="AG79" s="39">
        <v>-759504</v>
      </c>
      <c r="AH79" s="31"/>
      <c r="AI79" s="40">
        <f t="shared" si="2"/>
        <v>-759504</v>
      </c>
    </row>
    <row r="80" spans="1:35" s="2" customFormat="1" ht="23.25" customHeight="1">
      <c r="A80" s="7" t="s">
        <v>60</v>
      </c>
      <c r="B80" s="14" t="s">
        <v>61</v>
      </c>
      <c r="C80" s="29" t="s">
        <v>5</v>
      </c>
      <c r="D80" s="15" t="s">
        <v>405</v>
      </c>
      <c r="E80" s="12"/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/>
      <c r="L80" s="31">
        <v>59788</v>
      </c>
      <c r="M80" s="31">
        <v>59108</v>
      </c>
      <c r="N80" s="31">
        <v>61048</v>
      </c>
      <c r="O80" s="31"/>
      <c r="P80" s="31">
        <v>0</v>
      </c>
      <c r="Q80" s="31"/>
      <c r="R80" s="31">
        <v>16827</v>
      </c>
      <c r="S80" s="31">
        <v>143878</v>
      </c>
      <c r="T80" s="31">
        <v>16664.699830365891</v>
      </c>
      <c r="U80" s="31"/>
      <c r="V80" s="31">
        <v>35610</v>
      </c>
      <c r="W80" s="31"/>
      <c r="X80" s="31">
        <v>-9760</v>
      </c>
      <c r="Y80" s="31"/>
      <c r="Z80" s="31">
        <v>0</v>
      </c>
      <c r="AA80" s="31"/>
      <c r="AB80" s="38"/>
      <c r="AC80" s="31"/>
      <c r="AD80" s="31"/>
      <c r="AE80" s="31"/>
      <c r="AF80" s="31"/>
      <c r="AG80" s="31">
        <v>-109531</v>
      </c>
      <c r="AH80" s="31"/>
      <c r="AI80" s="41">
        <f t="shared" si="2"/>
        <v>-109531</v>
      </c>
    </row>
    <row r="81" spans="1:35" s="2" customFormat="1" ht="23.25" customHeight="1">
      <c r="A81" s="6" t="s">
        <v>122</v>
      </c>
      <c r="B81" s="11" t="s">
        <v>123</v>
      </c>
      <c r="C81" s="28" t="s">
        <v>5</v>
      </c>
      <c r="D81" s="11" t="s">
        <v>405</v>
      </c>
      <c r="E81" s="12"/>
      <c r="F81" s="30">
        <v>0</v>
      </c>
      <c r="G81" s="31">
        <v>0</v>
      </c>
      <c r="H81" s="31">
        <v>0</v>
      </c>
      <c r="I81" s="31">
        <v>0</v>
      </c>
      <c r="J81" s="31">
        <v>0</v>
      </c>
      <c r="K81" s="32"/>
      <c r="L81" s="33">
        <v>179364</v>
      </c>
      <c r="M81" s="31">
        <v>265986</v>
      </c>
      <c r="N81" s="31">
        <v>152620</v>
      </c>
      <c r="O81" s="31"/>
      <c r="P81" s="34">
        <v>80984</v>
      </c>
      <c r="Q81" s="31"/>
      <c r="R81" s="35">
        <v>93725</v>
      </c>
      <c r="S81" s="31">
        <v>506664</v>
      </c>
      <c r="T81" s="31">
        <v>93690.86844045308</v>
      </c>
      <c r="U81" s="31"/>
      <c r="V81" s="36">
        <v>271376</v>
      </c>
      <c r="W81" s="31"/>
      <c r="X81" s="37">
        <v>63530</v>
      </c>
      <c r="Y81" s="31"/>
      <c r="Z81" s="37">
        <v>0</v>
      </c>
      <c r="AA81" s="31"/>
      <c r="AB81" s="38"/>
      <c r="AC81" s="31"/>
      <c r="AD81" s="39"/>
      <c r="AE81" s="39"/>
      <c r="AF81" s="39"/>
      <c r="AG81" s="39">
        <v>-426699</v>
      </c>
      <c r="AH81" s="31"/>
      <c r="AI81" s="40">
        <f t="shared" si="2"/>
        <v>-426699</v>
      </c>
    </row>
    <row r="82" spans="1:35" s="2" customFormat="1" ht="23.25" customHeight="1">
      <c r="A82" s="7" t="s">
        <v>143</v>
      </c>
      <c r="B82" s="14" t="s">
        <v>144</v>
      </c>
      <c r="C82" s="29" t="s">
        <v>8</v>
      </c>
      <c r="D82" s="15" t="s">
        <v>405</v>
      </c>
      <c r="E82" s="12"/>
      <c r="F82" s="31">
        <v>-199839.66759053868</v>
      </c>
      <c r="G82" s="31">
        <v>60160.332409461305</v>
      </c>
      <c r="H82" s="31">
        <v>0</v>
      </c>
      <c r="I82" s="31">
        <v>-260000</v>
      </c>
      <c r="J82" s="31">
        <v>0</v>
      </c>
      <c r="K82" s="31"/>
      <c r="L82" s="31">
        <v>209258</v>
      </c>
      <c r="M82" s="31">
        <v>177324</v>
      </c>
      <c r="N82" s="31">
        <v>183144</v>
      </c>
      <c r="O82" s="31"/>
      <c r="P82" s="31">
        <v>167925</v>
      </c>
      <c r="Q82" s="31"/>
      <c r="R82" s="31">
        <v>345852</v>
      </c>
      <c r="S82" s="31">
        <v>1806134</v>
      </c>
      <c r="T82" s="31">
        <v>374105.68173444067</v>
      </c>
      <c r="U82" s="31"/>
      <c r="V82" s="31">
        <v>1561781</v>
      </c>
      <c r="W82" s="31"/>
      <c r="X82" s="31">
        <v>94771</v>
      </c>
      <c r="Y82" s="31"/>
      <c r="Z82" s="31">
        <v>251392</v>
      </c>
      <c r="AA82" s="31"/>
      <c r="AB82" s="38"/>
      <c r="AC82" s="31"/>
      <c r="AD82" s="31"/>
      <c r="AE82" s="31"/>
      <c r="AF82" s="31"/>
      <c r="AG82" s="31">
        <v>-1346573</v>
      </c>
      <c r="AH82" s="31"/>
      <c r="AI82" s="41">
        <f t="shared" si="2"/>
        <v>-1346573</v>
      </c>
    </row>
    <row r="83" spans="1:35" s="2" customFormat="1" ht="23.25" customHeight="1">
      <c r="A83" s="6" t="s">
        <v>145</v>
      </c>
      <c r="B83" s="11" t="s">
        <v>146</v>
      </c>
      <c r="C83" s="28" t="s">
        <v>8</v>
      </c>
      <c r="D83" s="11" t="s">
        <v>406</v>
      </c>
      <c r="E83" s="12"/>
      <c r="F83" s="30">
        <v>-226687.29590035108</v>
      </c>
      <c r="G83" s="31">
        <v>-73354.295900351077</v>
      </c>
      <c r="H83" s="31">
        <v>0</v>
      </c>
      <c r="I83" s="31">
        <v>-153333</v>
      </c>
      <c r="J83" s="31">
        <v>0</v>
      </c>
      <c r="K83" s="32"/>
      <c r="L83" s="33">
        <v>239152</v>
      </c>
      <c r="M83" s="31">
        <v>443310</v>
      </c>
      <c r="N83" s="31">
        <v>244192</v>
      </c>
      <c r="O83" s="31"/>
      <c r="P83" s="34">
        <v>51179</v>
      </c>
      <c r="Q83" s="31"/>
      <c r="R83" s="35">
        <v>296891</v>
      </c>
      <c r="S83" s="31">
        <v>1366643</v>
      </c>
      <c r="T83" s="31">
        <v>254476.45606908083</v>
      </c>
      <c r="U83" s="31"/>
      <c r="V83" s="36">
        <v>784751</v>
      </c>
      <c r="W83" s="31"/>
      <c r="X83" s="37">
        <v>116298</v>
      </c>
      <c r="Y83" s="31"/>
      <c r="Z83" s="37">
        <v>183296</v>
      </c>
      <c r="AA83" s="31"/>
      <c r="AB83" s="38"/>
      <c r="AC83" s="31"/>
      <c r="AD83" s="39"/>
      <c r="AE83" s="39"/>
      <c r="AF83" s="39"/>
      <c r="AG83" s="39">
        <v>-1092474</v>
      </c>
      <c r="AH83" s="31"/>
      <c r="AI83" s="40">
        <f t="shared" si="2"/>
        <v>-1092474</v>
      </c>
    </row>
    <row r="84" spans="1:35" s="2" customFormat="1" ht="23.25" customHeight="1">
      <c r="A84" s="7" t="s">
        <v>196</v>
      </c>
      <c r="B84" s="14" t="s">
        <v>197</v>
      </c>
      <c r="C84" s="29" t="s">
        <v>48</v>
      </c>
      <c r="D84" s="15" t="s">
        <v>406</v>
      </c>
      <c r="E84" s="12"/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/>
      <c r="L84" s="31">
        <v>209258</v>
      </c>
      <c r="M84" s="31">
        <v>265986</v>
      </c>
      <c r="N84" s="31">
        <v>213668</v>
      </c>
      <c r="O84" s="31"/>
      <c r="P84" s="31">
        <v>72047</v>
      </c>
      <c r="Q84" s="31"/>
      <c r="R84" s="31">
        <v>106054</v>
      </c>
      <c r="S84" s="31">
        <v>473141</v>
      </c>
      <c r="T84" s="31">
        <v>94845.020055403351</v>
      </c>
      <c r="U84" s="31"/>
      <c r="V84" s="31">
        <v>340194</v>
      </c>
      <c r="W84" s="31"/>
      <c r="X84" s="31">
        <v>47015</v>
      </c>
      <c r="Y84" s="31"/>
      <c r="Z84" s="31">
        <v>0</v>
      </c>
      <c r="AA84" s="31"/>
      <c r="AB84" s="38"/>
      <c r="AC84" s="31"/>
      <c r="AD84" s="31"/>
      <c r="AE84" s="31"/>
      <c r="AF84" s="31"/>
      <c r="AG84" s="31">
        <v>-419620</v>
      </c>
      <c r="AH84" s="31"/>
      <c r="AI84" s="41">
        <f t="shared" si="2"/>
        <v>-419620</v>
      </c>
    </row>
    <row r="85" spans="1:35" s="2" customFormat="1" ht="23.25" customHeight="1">
      <c r="A85" s="6" t="s">
        <v>265</v>
      </c>
      <c r="B85" s="11" t="s">
        <v>442</v>
      </c>
      <c r="C85" s="28" t="s">
        <v>439</v>
      </c>
      <c r="D85" s="11" t="s">
        <v>406</v>
      </c>
      <c r="E85" s="12"/>
      <c r="F85" s="30">
        <v>0</v>
      </c>
      <c r="G85" s="31">
        <v>0</v>
      </c>
      <c r="H85" s="31">
        <v>0</v>
      </c>
      <c r="I85" s="31">
        <v>0</v>
      </c>
      <c r="J85" s="31">
        <v>0</v>
      </c>
      <c r="K85" s="32"/>
      <c r="L85" s="33">
        <v>0</v>
      </c>
      <c r="M85" s="31" t="s">
        <v>387</v>
      </c>
      <c r="N85" s="31">
        <v>0</v>
      </c>
      <c r="O85" s="31"/>
      <c r="P85" s="34">
        <v>0</v>
      </c>
      <c r="Q85" s="31"/>
      <c r="R85" s="35">
        <v>2393</v>
      </c>
      <c r="S85" s="31">
        <v>0</v>
      </c>
      <c r="T85" s="31">
        <v>0</v>
      </c>
      <c r="U85" s="31"/>
      <c r="V85" s="36">
        <v>0</v>
      </c>
      <c r="W85" s="31"/>
      <c r="X85" s="37">
        <v>0</v>
      </c>
      <c r="Y85" s="31"/>
      <c r="Z85" s="37">
        <v>0</v>
      </c>
      <c r="AA85" s="31"/>
      <c r="AB85" s="38"/>
      <c r="AC85" s="31"/>
      <c r="AD85" s="39"/>
      <c r="AE85" s="39"/>
      <c r="AF85" s="39"/>
      <c r="AG85" s="39">
        <v>0</v>
      </c>
      <c r="AH85" s="31"/>
      <c r="AI85" s="40">
        <f t="shared" si="2"/>
        <v>0</v>
      </c>
    </row>
    <row r="86" spans="1:35" s="2" customFormat="1" ht="23.25" customHeight="1">
      <c r="A86" s="7" t="s">
        <v>266</v>
      </c>
      <c r="B86" s="14" t="s">
        <v>267</v>
      </c>
      <c r="C86" s="29" t="s">
        <v>28</v>
      </c>
      <c r="D86" s="15" t="s">
        <v>406</v>
      </c>
      <c r="E86" s="12"/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/>
      <c r="L86" s="31">
        <v>0</v>
      </c>
      <c r="M86" s="31" t="s">
        <v>387</v>
      </c>
      <c r="N86" s="31" t="s">
        <v>387</v>
      </c>
      <c r="O86" s="31"/>
      <c r="P86" s="31">
        <v>0</v>
      </c>
      <c r="Q86" s="31"/>
      <c r="R86" s="31">
        <v>55</v>
      </c>
      <c r="S86" s="31">
        <v>931</v>
      </c>
      <c r="T86" s="31">
        <v>0</v>
      </c>
      <c r="U86" s="31"/>
      <c r="V86" s="31">
        <v>0</v>
      </c>
      <c r="W86" s="31"/>
      <c r="X86" s="31">
        <v>0</v>
      </c>
      <c r="Y86" s="31"/>
      <c r="Z86" s="31">
        <v>0</v>
      </c>
      <c r="AA86" s="31"/>
      <c r="AB86" s="38"/>
      <c r="AC86" s="31"/>
      <c r="AD86" s="31"/>
      <c r="AE86" s="31"/>
      <c r="AF86" s="31"/>
      <c r="AG86" s="31">
        <v>-9373</v>
      </c>
      <c r="AH86" s="31"/>
      <c r="AI86" s="41">
        <f t="shared" si="2"/>
        <v>-9373</v>
      </c>
    </row>
    <row r="87" spans="1:35" s="2" customFormat="1" ht="23.25" customHeight="1">
      <c r="A87" s="6" t="s">
        <v>149</v>
      </c>
      <c r="B87" s="11" t="s">
        <v>150</v>
      </c>
      <c r="C87" s="28" t="s">
        <v>5</v>
      </c>
      <c r="D87" s="11" t="s">
        <v>423</v>
      </c>
      <c r="E87" s="12"/>
      <c r="F87" s="30">
        <v>0</v>
      </c>
      <c r="G87" s="31">
        <v>0</v>
      </c>
      <c r="H87" s="31">
        <v>0</v>
      </c>
      <c r="I87" s="31">
        <v>0</v>
      </c>
      <c r="J87" s="31">
        <v>0</v>
      </c>
      <c r="K87" s="32"/>
      <c r="L87" s="33">
        <v>327176</v>
      </c>
      <c r="M87" s="31">
        <v>376362</v>
      </c>
      <c r="N87" s="31">
        <v>329952</v>
      </c>
      <c r="O87" s="31"/>
      <c r="P87" s="34">
        <v>0</v>
      </c>
      <c r="Q87" s="31"/>
      <c r="R87" s="35">
        <v>34718</v>
      </c>
      <c r="S87" s="31">
        <v>180148</v>
      </c>
      <c r="T87" s="31">
        <v>30264.658535963019</v>
      </c>
      <c r="U87" s="31"/>
      <c r="V87" s="36">
        <v>0</v>
      </c>
      <c r="W87" s="31"/>
      <c r="X87" s="37">
        <v>-5992</v>
      </c>
      <c r="Y87" s="31"/>
      <c r="Z87" s="37">
        <v>17408</v>
      </c>
      <c r="AA87" s="31"/>
      <c r="AB87" s="38"/>
      <c r="AC87" s="31"/>
      <c r="AD87" s="39"/>
      <c r="AE87" s="39"/>
      <c r="AF87" s="39"/>
      <c r="AG87" s="39">
        <v>-153227</v>
      </c>
      <c r="AH87" s="31"/>
      <c r="AI87" s="40">
        <f t="shared" si="2"/>
        <v>-153227</v>
      </c>
    </row>
    <row r="88" spans="1:35" s="2" customFormat="1" ht="23.25" customHeight="1">
      <c r="A88" s="7" t="s">
        <v>105</v>
      </c>
      <c r="B88" s="14" t="s">
        <v>106</v>
      </c>
      <c r="C88" s="29" t="s">
        <v>107</v>
      </c>
      <c r="D88" s="15" t="s">
        <v>407</v>
      </c>
      <c r="E88" s="12"/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/>
      <c r="L88" s="31">
        <v>119576</v>
      </c>
      <c r="M88" s="31">
        <v>118216</v>
      </c>
      <c r="N88" s="31">
        <v>122096</v>
      </c>
      <c r="O88" s="31"/>
      <c r="P88" s="31">
        <v>16813</v>
      </c>
      <c r="Q88" s="31"/>
      <c r="R88" s="31">
        <v>15099</v>
      </c>
      <c r="S88" s="31">
        <v>96039</v>
      </c>
      <c r="T88" s="31">
        <v>10148.020210296565</v>
      </c>
      <c r="U88" s="31"/>
      <c r="V88" s="31">
        <v>102831</v>
      </c>
      <c r="W88" s="31"/>
      <c r="X88" s="31">
        <v>43477</v>
      </c>
      <c r="Y88" s="31"/>
      <c r="Z88" s="31">
        <v>0</v>
      </c>
      <c r="AA88" s="31"/>
      <c r="AB88" s="38"/>
      <c r="AC88" s="31"/>
      <c r="AD88" s="31"/>
      <c r="AE88" s="31"/>
      <c r="AF88" s="31"/>
      <c r="AG88" s="31">
        <v>-73386</v>
      </c>
      <c r="AH88" s="31"/>
      <c r="AI88" s="41">
        <f t="shared" si="2"/>
        <v>-73386</v>
      </c>
    </row>
    <row r="89" spans="1:35" s="2" customFormat="1" ht="23.25" customHeight="1">
      <c r="A89" s="6" t="s">
        <v>151</v>
      </c>
      <c r="B89" s="11" t="s">
        <v>152</v>
      </c>
      <c r="C89" s="28" t="s">
        <v>5</v>
      </c>
      <c r="D89" s="11" t="s">
        <v>407</v>
      </c>
      <c r="E89" s="12"/>
      <c r="F89" s="30">
        <v>0</v>
      </c>
      <c r="G89" s="31">
        <v>0</v>
      </c>
      <c r="H89" s="31">
        <v>0</v>
      </c>
      <c r="I89" s="31">
        <v>0</v>
      </c>
      <c r="J89" s="31">
        <v>0</v>
      </c>
      <c r="K89" s="32"/>
      <c r="L89" s="33">
        <v>89682</v>
      </c>
      <c r="M89" s="31">
        <v>59108</v>
      </c>
      <c r="N89" s="31">
        <v>91572</v>
      </c>
      <c r="O89" s="31"/>
      <c r="P89" s="34">
        <v>30933</v>
      </c>
      <c r="Q89" s="31"/>
      <c r="R89" s="35">
        <v>181897</v>
      </c>
      <c r="S89" s="31">
        <v>994810</v>
      </c>
      <c r="T89" s="31">
        <v>218552.83083751699</v>
      </c>
      <c r="U89" s="31"/>
      <c r="V89" s="36">
        <v>742583</v>
      </c>
      <c r="W89" s="31"/>
      <c r="X89" s="37">
        <v>52762</v>
      </c>
      <c r="Y89" s="31"/>
      <c r="Z89" s="37">
        <v>258048</v>
      </c>
      <c r="AA89" s="31"/>
      <c r="AB89" s="38"/>
      <c r="AC89" s="31"/>
      <c r="AD89" s="39"/>
      <c r="AE89" s="39"/>
      <c r="AF89" s="39"/>
      <c r="AG89" s="39">
        <v>-780159</v>
      </c>
      <c r="AH89" s="31"/>
      <c r="AI89" s="40">
        <f t="shared" si="2"/>
        <v>-780159</v>
      </c>
    </row>
    <row r="90" spans="1:35" s="2" customFormat="1" ht="23.25" customHeight="1">
      <c r="A90" s="7" t="s">
        <v>204</v>
      </c>
      <c r="B90" s="14" t="s">
        <v>205</v>
      </c>
      <c r="C90" s="29" t="s">
        <v>8</v>
      </c>
      <c r="D90" s="15" t="s">
        <v>407</v>
      </c>
      <c r="E90" s="12"/>
      <c r="F90" s="31">
        <v>-197708.86256898034</v>
      </c>
      <c r="G90" s="31">
        <v>-43658.835651679852</v>
      </c>
      <c r="H90" s="31">
        <v>-7383.0269173004999</v>
      </c>
      <c r="I90" s="31">
        <v>-146667</v>
      </c>
      <c r="J90" s="31">
        <v>0</v>
      </c>
      <c r="K90" s="31"/>
      <c r="L90" s="31">
        <v>358728</v>
      </c>
      <c r="M90" s="31">
        <v>354648</v>
      </c>
      <c r="N90" s="31">
        <v>366288</v>
      </c>
      <c r="O90" s="31"/>
      <c r="P90" s="31">
        <v>109729</v>
      </c>
      <c r="Q90" s="31"/>
      <c r="R90" s="31">
        <v>222515</v>
      </c>
      <c r="S90" s="31">
        <v>1138710</v>
      </c>
      <c r="T90" s="31">
        <v>223592.08964721687</v>
      </c>
      <c r="U90" s="31"/>
      <c r="V90" s="31">
        <v>500217</v>
      </c>
      <c r="W90" s="31"/>
      <c r="X90" s="31">
        <v>160690</v>
      </c>
      <c r="Y90" s="31"/>
      <c r="Z90" s="31">
        <v>0</v>
      </c>
      <c r="AA90" s="31"/>
      <c r="AB90" s="38"/>
      <c r="AC90" s="31"/>
      <c r="AD90" s="31"/>
      <c r="AE90" s="31"/>
      <c r="AF90" s="31"/>
      <c r="AG90" s="31">
        <v>-874549</v>
      </c>
      <c r="AH90" s="31"/>
      <c r="AI90" s="41">
        <f t="shared" si="2"/>
        <v>-874549</v>
      </c>
    </row>
    <row r="91" spans="1:35" s="2" customFormat="1" ht="23.25" customHeight="1">
      <c r="A91" s="6" t="s">
        <v>29</v>
      </c>
      <c r="B91" s="11" t="s">
        <v>30</v>
      </c>
      <c r="C91" s="28" t="s">
        <v>28</v>
      </c>
      <c r="D91" s="11" t="s">
        <v>408</v>
      </c>
      <c r="E91" s="12"/>
      <c r="F91" s="30">
        <v>0</v>
      </c>
      <c r="G91" s="31">
        <v>0</v>
      </c>
      <c r="H91" s="31">
        <v>0</v>
      </c>
      <c r="I91" s="31">
        <v>0</v>
      </c>
      <c r="J91" s="31">
        <v>0</v>
      </c>
      <c r="K91" s="32"/>
      <c r="L91" s="33">
        <v>0</v>
      </c>
      <c r="M91" s="31">
        <v>384202</v>
      </c>
      <c r="N91" s="31" t="s">
        <v>387</v>
      </c>
      <c r="O91" s="31"/>
      <c r="P91" s="34">
        <v>0</v>
      </c>
      <c r="Q91" s="31"/>
      <c r="R91" s="35">
        <v>605</v>
      </c>
      <c r="S91" s="31">
        <v>6758</v>
      </c>
      <c r="T91" s="31">
        <v>0</v>
      </c>
      <c r="U91" s="31"/>
      <c r="V91" s="36">
        <v>0</v>
      </c>
      <c r="W91" s="31"/>
      <c r="X91" s="37">
        <v>0</v>
      </c>
      <c r="Y91" s="31"/>
      <c r="Z91" s="37">
        <v>0</v>
      </c>
      <c r="AA91" s="31"/>
      <c r="AB91" s="38"/>
      <c r="AC91" s="31"/>
      <c r="AD91" s="39"/>
      <c r="AE91" s="39"/>
      <c r="AF91" s="39"/>
      <c r="AG91" s="39">
        <v>0</v>
      </c>
      <c r="AH91" s="31"/>
      <c r="AI91" s="40">
        <f t="shared" si="2"/>
        <v>0</v>
      </c>
    </row>
    <row r="92" spans="1:35" s="2" customFormat="1" ht="23.25" customHeight="1">
      <c r="A92" s="7" t="s">
        <v>70</v>
      </c>
      <c r="B92" s="14" t="s">
        <v>71</v>
      </c>
      <c r="C92" s="29" t="s">
        <v>8</v>
      </c>
      <c r="D92" s="15" t="s">
        <v>408</v>
      </c>
      <c r="E92" s="12"/>
      <c r="F92" s="31">
        <v>14941.225538670005</v>
      </c>
      <c r="G92" s="31">
        <v>0</v>
      </c>
      <c r="H92" s="31">
        <v>-43392.107799999998</v>
      </c>
      <c r="I92" s="31">
        <v>0</v>
      </c>
      <c r="J92" s="31">
        <v>58333.333338670003</v>
      </c>
      <c r="K92" s="31"/>
      <c r="L92" s="31">
        <v>59788</v>
      </c>
      <c r="M92" s="31">
        <v>59108</v>
      </c>
      <c r="N92" s="31" t="s">
        <v>387</v>
      </c>
      <c r="O92" s="31"/>
      <c r="P92" s="31">
        <v>47123</v>
      </c>
      <c r="Q92" s="31"/>
      <c r="R92" s="31">
        <v>49835</v>
      </c>
      <c r="S92" s="31">
        <v>529696</v>
      </c>
      <c r="T92" s="31">
        <v>88544.518010607513</v>
      </c>
      <c r="U92" s="31"/>
      <c r="V92" s="31">
        <v>77619</v>
      </c>
      <c r="W92" s="31"/>
      <c r="X92" s="31">
        <v>0</v>
      </c>
      <c r="Y92" s="31"/>
      <c r="Z92" s="31">
        <v>0</v>
      </c>
      <c r="AA92" s="31"/>
      <c r="AB92" s="38"/>
      <c r="AC92" s="31"/>
      <c r="AD92" s="31"/>
      <c r="AE92" s="31"/>
      <c r="AF92" s="31"/>
      <c r="AG92" s="31">
        <v>-71360</v>
      </c>
      <c r="AH92" s="31"/>
      <c r="AI92" s="41">
        <f t="shared" si="2"/>
        <v>-71360</v>
      </c>
    </row>
    <row r="93" spans="1:35" s="2" customFormat="1" ht="23.25" customHeight="1">
      <c r="A93" s="6" t="s">
        <v>78</v>
      </c>
      <c r="B93" s="11" t="s">
        <v>79</v>
      </c>
      <c r="C93" s="28" t="s">
        <v>35</v>
      </c>
      <c r="D93" s="11" t="s">
        <v>408</v>
      </c>
      <c r="E93" s="12"/>
      <c r="F93" s="30">
        <v>0</v>
      </c>
      <c r="G93" s="31">
        <v>0</v>
      </c>
      <c r="H93" s="31">
        <v>0</v>
      </c>
      <c r="I93" s="31">
        <v>0</v>
      </c>
      <c r="J93" s="31">
        <v>0</v>
      </c>
      <c r="K93" s="32"/>
      <c r="L93" s="33">
        <v>0</v>
      </c>
      <c r="M93" s="31" t="s">
        <v>387</v>
      </c>
      <c r="N93" s="31" t="s">
        <v>387</v>
      </c>
      <c r="O93" s="31"/>
      <c r="P93" s="34">
        <v>86672</v>
      </c>
      <c r="Q93" s="31"/>
      <c r="R93" s="35">
        <v>100986</v>
      </c>
      <c r="S93" s="31">
        <v>514116</v>
      </c>
      <c r="T93" s="31">
        <v>146416.95794488178</v>
      </c>
      <c r="U93" s="31"/>
      <c r="V93" s="36">
        <v>575559</v>
      </c>
      <c r="W93" s="31"/>
      <c r="X93" s="37">
        <v>-18260</v>
      </c>
      <c r="Y93" s="31"/>
      <c r="Z93" s="37">
        <v>0</v>
      </c>
      <c r="AA93" s="31"/>
      <c r="AB93" s="38"/>
      <c r="AC93" s="31"/>
      <c r="AD93" s="39"/>
      <c r="AE93" s="39"/>
      <c r="AF93" s="39"/>
      <c r="AG93" s="39">
        <v>-255240</v>
      </c>
      <c r="AH93" s="31"/>
      <c r="AI93" s="40">
        <f t="shared" si="2"/>
        <v>-255240</v>
      </c>
    </row>
    <row r="94" spans="1:35" s="2" customFormat="1" ht="23.25" customHeight="1">
      <c r="A94" s="7" t="s">
        <v>82</v>
      </c>
      <c r="B94" s="14" t="s">
        <v>83</v>
      </c>
      <c r="C94" s="29" t="s">
        <v>5</v>
      </c>
      <c r="D94" s="15" t="s">
        <v>408</v>
      </c>
      <c r="E94" s="12"/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/>
      <c r="L94" s="31">
        <v>0</v>
      </c>
      <c r="M94" s="31" t="s">
        <v>387</v>
      </c>
      <c r="N94" s="31" t="s">
        <v>387</v>
      </c>
      <c r="O94" s="31"/>
      <c r="P94" s="31">
        <v>0</v>
      </c>
      <c r="Q94" s="31"/>
      <c r="R94" s="31">
        <v>11936</v>
      </c>
      <c r="S94" s="31">
        <v>62445</v>
      </c>
      <c r="T94" s="31">
        <v>11047.588425054761</v>
      </c>
      <c r="U94" s="31"/>
      <c r="V94" s="31">
        <v>67192</v>
      </c>
      <c r="W94" s="31"/>
      <c r="X94" s="31">
        <v>6002</v>
      </c>
      <c r="Y94" s="31"/>
      <c r="Z94" s="31">
        <v>0</v>
      </c>
      <c r="AA94" s="31"/>
      <c r="AB94" s="38"/>
      <c r="AC94" s="31"/>
      <c r="AD94" s="31"/>
      <c r="AE94" s="31"/>
      <c r="AF94" s="31"/>
      <c r="AG94" s="31">
        <v>-43953</v>
      </c>
      <c r="AH94" s="31"/>
      <c r="AI94" s="41">
        <f t="shared" si="2"/>
        <v>-43953</v>
      </c>
    </row>
    <row r="95" spans="1:35" s="2" customFormat="1" ht="23.25" customHeight="1">
      <c r="A95" s="6" t="s">
        <v>153</v>
      </c>
      <c r="B95" s="11" t="s">
        <v>154</v>
      </c>
      <c r="C95" s="28" t="s">
        <v>5</v>
      </c>
      <c r="D95" s="11" t="s">
        <v>408</v>
      </c>
      <c r="E95" s="12"/>
      <c r="F95" s="30">
        <v>-22386.5</v>
      </c>
      <c r="G95" s="31">
        <v>0</v>
      </c>
      <c r="H95" s="31">
        <v>0</v>
      </c>
      <c r="I95" s="31">
        <v>0</v>
      </c>
      <c r="J95" s="31">
        <v>-22386.5</v>
      </c>
      <c r="K95" s="32"/>
      <c r="L95" s="33">
        <v>538092</v>
      </c>
      <c r="M95" s="31">
        <v>384202</v>
      </c>
      <c r="N95" s="31">
        <v>488384</v>
      </c>
      <c r="O95" s="31"/>
      <c r="P95" s="34">
        <v>154041</v>
      </c>
      <c r="Q95" s="31"/>
      <c r="R95" s="35">
        <v>179782</v>
      </c>
      <c r="S95" s="31">
        <v>1252563</v>
      </c>
      <c r="T95" s="31">
        <v>264040.88984655589</v>
      </c>
      <c r="U95" s="31"/>
      <c r="V95" s="36">
        <v>419886</v>
      </c>
      <c r="W95" s="31"/>
      <c r="X95" s="37">
        <v>79510</v>
      </c>
      <c r="Y95" s="31"/>
      <c r="Z95" s="37">
        <v>0</v>
      </c>
      <c r="AA95" s="31"/>
      <c r="AB95" s="38"/>
      <c r="AC95" s="31"/>
      <c r="AD95" s="39"/>
      <c r="AE95" s="39"/>
      <c r="AF95" s="39"/>
      <c r="AG95" s="39">
        <v>-1086397</v>
      </c>
      <c r="AH95" s="31"/>
      <c r="AI95" s="40">
        <f t="shared" si="2"/>
        <v>-1086397</v>
      </c>
    </row>
    <row r="96" spans="1:35" s="2" customFormat="1" ht="23.25" customHeight="1">
      <c r="A96" s="7" t="s">
        <v>155</v>
      </c>
      <c r="B96" s="14" t="s">
        <v>156</v>
      </c>
      <c r="C96" s="29" t="s">
        <v>8</v>
      </c>
      <c r="D96" s="15" t="s">
        <v>408</v>
      </c>
      <c r="E96" s="12"/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/>
      <c r="L96" s="31">
        <v>0</v>
      </c>
      <c r="M96" s="31" t="s">
        <v>387</v>
      </c>
      <c r="N96" s="31" t="s">
        <v>387</v>
      </c>
      <c r="O96" s="31"/>
      <c r="P96" s="31">
        <v>44312</v>
      </c>
      <c r="Q96" s="31"/>
      <c r="R96" s="31">
        <v>50871</v>
      </c>
      <c r="S96" s="31">
        <v>485788</v>
      </c>
      <c r="T96" s="31">
        <v>86350.316636328003</v>
      </c>
      <c r="U96" s="31"/>
      <c r="V96" s="31">
        <v>0</v>
      </c>
      <c r="W96" s="31"/>
      <c r="X96" s="31">
        <v>46640</v>
      </c>
      <c r="Y96" s="31"/>
      <c r="Z96" s="31">
        <v>0</v>
      </c>
      <c r="AA96" s="31"/>
      <c r="AB96" s="38"/>
      <c r="AC96" s="31"/>
      <c r="AD96" s="31"/>
      <c r="AE96" s="31"/>
      <c r="AF96" s="31"/>
      <c r="AG96" s="31">
        <v>-448246</v>
      </c>
      <c r="AH96" s="31"/>
      <c r="AI96" s="41">
        <f t="shared" si="2"/>
        <v>-448246</v>
      </c>
    </row>
    <row r="97" spans="1:35" s="2" customFormat="1" ht="23.25" customHeight="1">
      <c r="A97" s="6" t="s">
        <v>157</v>
      </c>
      <c r="B97" s="11" t="s">
        <v>158</v>
      </c>
      <c r="C97" s="28" t="s">
        <v>5</v>
      </c>
      <c r="D97" s="11" t="s">
        <v>408</v>
      </c>
      <c r="E97" s="12"/>
      <c r="F97" s="30">
        <v>-43392.107799999998</v>
      </c>
      <c r="G97" s="31">
        <v>0</v>
      </c>
      <c r="H97" s="31">
        <v>-43392.107799999998</v>
      </c>
      <c r="I97" s="31">
        <v>0</v>
      </c>
      <c r="J97" s="31">
        <v>0</v>
      </c>
      <c r="K97" s="32"/>
      <c r="L97" s="33">
        <v>119576</v>
      </c>
      <c r="M97" s="31">
        <v>118216</v>
      </c>
      <c r="N97" s="31">
        <v>91572</v>
      </c>
      <c r="O97" s="31"/>
      <c r="P97" s="34">
        <v>108786</v>
      </c>
      <c r="Q97" s="31"/>
      <c r="R97" s="35">
        <v>118212</v>
      </c>
      <c r="S97" s="31">
        <v>622452</v>
      </c>
      <c r="T97" s="31">
        <v>126220.07201940315</v>
      </c>
      <c r="U97" s="31"/>
      <c r="V97" s="36">
        <v>216210</v>
      </c>
      <c r="W97" s="31"/>
      <c r="X97" s="37">
        <v>15127</v>
      </c>
      <c r="Y97" s="31"/>
      <c r="Z97" s="37">
        <v>0</v>
      </c>
      <c r="AA97" s="31"/>
      <c r="AB97" s="38"/>
      <c r="AC97" s="31"/>
      <c r="AD97" s="39"/>
      <c r="AE97" s="39"/>
      <c r="AF97" s="39"/>
      <c r="AG97" s="39">
        <v>-591741</v>
      </c>
      <c r="AH97" s="31"/>
      <c r="AI97" s="40">
        <f t="shared" si="2"/>
        <v>-591741</v>
      </c>
    </row>
    <row r="98" spans="1:35" s="2" customFormat="1" ht="23.25" customHeight="1">
      <c r="A98" s="7" t="s">
        <v>159</v>
      </c>
      <c r="B98" s="14" t="s">
        <v>160</v>
      </c>
      <c r="C98" s="29" t="s">
        <v>38</v>
      </c>
      <c r="D98" s="15" t="s">
        <v>408</v>
      </c>
      <c r="E98" s="12"/>
      <c r="F98" s="31">
        <v>-128308.12664145531</v>
      </c>
      <c r="G98" s="31">
        <v>265741.9002758452</v>
      </c>
      <c r="H98" s="31">
        <v>-7383.0269173004999</v>
      </c>
      <c r="I98" s="31">
        <v>-386667</v>
      </c>
      <c r="J98" s="31">
        <v>0</v>
      </c>
      <c r="K98" s="31"/>
      <c r="L98" s="31">
        <v>29894</v>
      </c>
      <c r="M98" s="31">
        <v>59108</v>
      </c>
      <c r="N98" s="31" t="s">
        <v>387</v>
      </c>
      <c r="O98" s="31"/>
      <c r="P98" s="31">
        <v>20128</v>
      </c>
      <c r="Q98" s="31"/>
      <c r="R98" s="31">
        <v>335683</v>
      </c>
      <c r="S98" s="31">
        <v>1796379</v>
      </c>
      <c r="T98" s="31">
        <v>378075.65774237906</v>
      </c>
      <c r="U98" s="31"/>
      <c r="V98" s="31">
        <v>1437579</v>
      </c>
      <c r="W98" s="31"/>
      <c r="X98" s="31">
        <v>98928</v>
      </c>
      <c r="Y98" s="31"/>
      <c r="Z98" s="31">
        <v>0</v>
      </c>
      <c r="AA98" s="31"/>
      <c r="AB98" s="38"/>
      <c r="AC98" s="31"/>
      <c r="AD98" s="31"/>
      <c r="AE98" s="31"/>
      <c r="AF98" s="31"/>
      <c r="AG98" s="31">
        <v>-1122446</v>
      </c>
      <c r="AH98" s="31"/>
      <c r="AI98" s="41">
        <v>234593994</v>
      </c>
    </row>
    <row r="99" spans="1:35" s="2" customFormat="1" ht="23.25" customHeight="1">
      <c r="A99" s="6" t="s">
        <v>161</v>
      </c>
      <c r="B99" s="11" t="s">
        <v>162</v>
      </c>
      <c r="C99" s="28" t="s">
        <v>38</v>
      </c>
      <c r="D99" s="11" t="s">
        <v>408</v>
      </c>
      <c r="E99" s="12"/>
      <c r="F99" s="30">
        <v>-717190.92902180762</v>
      </c>
      <c r="G99" s="31">
        <v>16142.070978192423</v>
      </c>
      <c r="H99" s="31">
        <v>0</v>
      </c>
      <c r="I99" s="31">
        <v>-733333</v>
      </c>
      <c r="J99" s="31">
        <v>0</v>
      </c>
      <c r="K99" s="32"/>
      <c r="L99" s="33">
        <v>59788</v>
      </c>
      <c r="M99" s="31">
        <v>88662</v>
      </c>
      <c r="N99" s="31" t="s">
        <v>387</v>
      </c>
      <c r="O99" s="31"/>
      <c r="P99" s="34">
        <v>37563</v>
      </c>
      <c r="Q99" s="31"/>
      <c r="R99" s="35">
        <v>327104</v>
      </c>
      <c r="S99" s="31">
        <v>1773914</v>
      </c>
      <c r="T99" s="31">
        <v>278310.65851020609</v>
      </c>
      <c r="U99" s="31"/>
      <c r="V99" s="36">
        <v>891451</v>
      </c>
      <c r="W99" s="31"/>
      <c r="X99" s="37">
        <v>13968</v>
      </c>
      <c r="Y99" s="31"/>
      <c r="Z99" s="37">
        <v>0</v>
      </c>
      <c r="AA99" s="31"/>
      <c r="AB99" s="38"/>
      <c r="AC99" s="31"/>
      <c r="AD99" s="39"/>
      <c r="AE99" s="39"/>
      <c r="AF99" s="39"/>
      <c r="AG99" s="39">
        <v>-1267141</v>
      </c>
      <c r="AH99" s="31"/>
      <c r="AI99" s="40">
        <f t="shared" si="2"/>
        <v>-1267141</v>
      </c>
    </row>
    <row r="100" spans="1:35" s="2" customFormat="1" ht="23.25" customHeight="1">
      <c r="A100" s="7" t="s">
        <v>447</v>
      </c>
      <c r="B100" s="14" t="s">
        <v>438</v>
      </c>
      <c r="C100" s="29" t="s">
        <v>435</v>
      </c>
      <c r="D100" s="15" t="s">
        <v>408</v>
      </c>
      <c r="E100" s="12"/>
      <c r="F100" s="31"/>
      <c r="G100" s="31"/>
      <c r="H100" s="31"/>
      <c r="I100" s="31"/>
      <c r="J100" s="31"/>
      <c r="K100" s="31"/>
      <c r="L100" s="31">
        <v>0</v>
      </c>
      <c r="M100" s="31"/>
      <c r="N100" s="31"/>
      <c r="O100" s="31"/>
      <c r="P100" s="31">
        <v>267235</v>
      </c>
      <c r="Q100" s="31"/>
      <c r="R100" s="31">
        <v>687743</v>
      </c>
      <c r="S100" s="31"/>
      <c r="T100" s="31"/>
      <c r="U100" s="31"/>
      <c r="V100" s="31">
        <v>1166596</v>
      </c>
      <c r="W100" s="31"/>
      <c r="X100" s="31"/>
      <c r="Y100" s="31"/>
      <c r="Z100" s="31"/>
      <c r="AA100" s="31"/>
      <c r="AB100" s="38"/>
      <c r="AC100" s="31"/>
      <c r="AD100" s="31"/>
      <c r="AE100" s="31"/>
      <c r="AF100" s="31"/>
      <c r="AG100" s="31"/>
      <c r="AH100" s="31"/>
      <c r="AI100" s="41"/>
    </row>
    <row r="101" spans="1:35" s="2" customFormat="1" ht="23.25" customHeight="1">
      <c r="A101" s="6" t="s">
        <v>210</v>
      </c>
      <c r="B101" s="11" t="s">
        <v>211</v>
      </c>
      <c r="C101" s="28" t="s">
        <v>5</v>
      </c>
      <c r="D101" s="11" t="s">
        <v>408</v>
      </c>
      <c r="E101" s="12"/>
      <c r="F101" s="30">
        <v>0</v>
      </c>
      <c r="G101" s="31">
        <v>0</v>
      </c>
      <c r="H101" s="31">
        <v>0</v>
      </c>
      <c r="I101" s="31">
        <v>0</v>
      </c>
      <c r="J101" s="31">
        <v>0</v>
      </c>
      <c r="K101" s="32"/>
      <c r="L101" s="33"/>
      <c r="M101" s="31">
        <v>59108</v>
      </c>
      <c r="N101" s="31" t="s">
        <v>387</v>
      </c>
      <c r="O101" s="31"/>
      <c r="P101" s="34">
        <v>78476</v>
      </c>
      <c r="Q101" s="31"/>
      <c r="R101" s="35">
        <v>57232</v>
      </c>
      <c r="S101" s="31">
        <v>437617</v>
      </c>
      <c r="T101" s="31">
        <v>73427.797399718271</v>
      </c>
      <c r="U101" s="31"/>
      <c r="V101" s="36">
        <v>36725</v>
      </c>
      <c r="W101" s="31"/>
      <c r="X101" s="37">
        <v>0</v>
      </c>
      <c r="Y101" s="31"/>
      <c r="Z101" s="37">
        <v>0</v>
      </c>
      <c r="AA101" s="31"/>
      <c r="AB101" s="38"/>
      <c r="AC101" s="31"/>
      <c r="AD101" s="39"/>
      <c r="AE101" s="39"/>
      <c r="AF101" s="39"/>
      <c r="AG101" s="39">
        <v>-56013</v>
      </c>
      <c r="AH101" s="31"/>
      <c r="AI101" s="40">
        <f t="shared" si="2"/>
        <v>-56013</v>
      </c>
    </row>
    <row r="102" spans="1:35" s="2" customFormat="1" ht="23.25" customHeight="1">
      <c r="A102" s="7" t="s">
        <v>268</v>
      </c>
      <c r="B102" s="14" t="s">
        <v>269</v>
      </c>
      <c r="C102" s="29" t="s">
        <v>28</v>
      </c>
      <c r="D102" s="15" t="s">
        <v>408</v>
      </c>
      <c r="E102" s="12"/>
      <c r="F102" s="31">
        <v>0</v>
      </c>
      <c r="G102" s="31">
        <v>0</v>
      </c>
      <c r="H102" s="31">
        <v>0</v>
      </c>
      <c r="I102" s="31">
        <v>0</v>
      </c>
      <c r="J102" s="31">
        <v>0</v>
      </c>
      <c r="K102" s="31"/>
      <c r="L102" s="31"/>
      <c r="M102" s="31" t="s">
        <v>387</v>
      </c>
      <c r="N102" s="31" t="s">
        <v>387</v>
      </c>
      <c r="O102" s="31"/>
      <c r="P102" s="31" t="s">
        <v>387</v>
      </c>
      <c r="Q102" s="31"/>
      <c r="R102" s="31" t="s">
        <v>387</v>
      </c>
      <c r="S102" s="31">
        <v>0</v>
      </c>
      <c r="T102" s="31">
        <v>0</v>
      </c>
      <c r="U102" s="31"/>
      <c r="V102" s="31" t="s">
        <v>387</v>
      </c>
      <c r="W102" s="31"/>
      <c r="X102" s="31">
        <v>0</v>
      </c>
      <c r="Y102" s="31"/>
      <c r="Z102" s="31">
        <v>0</v>
      </c>
      <c r="AA102" s="31"/>
      <c r="AB102" s="38"/>
      <c r="AC102" s="31"/>
      <c r="AD102" s="31"/>
      <c r="AE102" s="31"/>
      <c r="AF102" s="31"/>
      <c r="AG102" s="31">
        <v>0</v>
      </c>
      <c r="AH102" s="31"/>
      <c r="AI102" s="41">
        <f t="shared" ref="AI102:AI165" si="3">SUM(AD102:AG102)</f>
        <v>0</v>
      </c>
    </row>
    <row r="103" spans="1:35" s="2" customFormat="1" ht="23.25" customHeight="1">
      <c r="A103" s="6" t="s">
        <v>270</v>
      </c>
      <c r="B103" s="11" t="s">
        <v>271</v>
      </c>
      <c r="C103" s="28" t="s">
        <v>28</v>
      </c>
      <c r="D103" s="11" t="s">
        <v>408</v>
      </c>
      <c r="E103" s="12"/>
      <c r="F103" s="30">
        <v>0</v>
      </c>
      <c r="G103" s="31">
        <v>0</v>
      </c>
      <c r="H103" s="31">
        <v>0</v>
      </c>
      <c r="I103" s="31">
        <v>0</v>
      </c>
      <c r="J103" s="31">
        <v>0</v>
      </c>
      <c r="K103" s="32"/>
      <c r="L103" s="33"/>
      <c r="M103" s="31" t="s">
        <v>387</v>
      </c>
      <c r="N103" s="31">
        <v>0</v>
      </c>
      <c r="O103" s="31"/>
      <c r="P103" s="34">
        <v>0</v>
      </c>
      <c r="Q103" s="31"/>
      <c r="R103" s="35">
        <v>1498</v>
      </c>
      <c r="S103" s="31">
        <v>25308</v>
      </c>
      <c r="T103" s="31">
        <v>0</v>
      </c>
      <c r="U103" s="31"/>
      <c r="V103" s="36">
        <v>0</v>
      </c>
      <c r="W103" s="31"/>
      <c r="X103" s="37">
        <v>0</v>
      </c>
      <c r="Y103" s="31"/>
      <c r="Z103" s="37">
        <v>0</v>
      </c>
      <c r="AA103" s="31"/>
      <c r="AB103" s="38"/>
      <c r="AC103" s="31"/>
      <c r="AD103" s="39"/>
      <c r="AE103" s="39"/>
      <c r="AF103" s="39"/>
      <c r="AG103" s="39">
        <v>0</v>
      </c>
      <c r="AH103" s="31"/>
      <c r="AI103" s="40">
        <f t="shared" si="3"/>
        <v>0</v>
      </c>
    </row>
    <row r="104" spans="1:35" s="2" customFormat="1" ht="23.25" customHeight="1">
      <c r="A104" s="7" t="s">
        <v>272</v>
      </c>
      <c r="B104" s="14" t="s">
        <v>273</v>
      </c>
      <c r="C104" s="29" t="s">
        <v>28</v>
      </c>
      <c r="D104" s="15" t="s">
        <v>408</v>
      </c>
      <c r="E104" s="12"/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/>
      <c r="L104" s="31"/>
      <c r="M104" s="31">
        <v>236432</v>
      </c>
      <c r="N104" s="31" t="s">
        <v>387</v>
      </c>
      <c r="O104" s="31"/>
      <c r="P104" s="31">
        <v>0</v>
      </c>
      <c r="Q104" s="31"/>
      <c r="R104" s="31">
        <v>1018</v>
      </c>
      <c r="S104" s="31">
        <v>15468</v>
      </c>
      <c r="T104" s="31">
        <v>0</v>
      </c>
      <c r="U104" s="31"/>
      <c r="V104" s="31">
        <v>0</v>
      </c>
      <c r="W104" s="31"/>
      <c r="X104" s="31">
        <v>0</v>
      </c>
      <c r="Y104" s="31"/>
      <c r="Z104" s="31">
        <v>0</v>
      </c>
      <c r="AA104" s="31"/>
      <c r="AB104" s="38"/>
      <c r="AC104" s="31"/>
      <c r="AD104" s="31"/>
      <c r="AE104" s="31"/>
      <c r="AF104" s="31"/>
      <c r="AG104" s="31">
        <v>0</v>
      </c>
      <c r="AH104" s="31"/>
      <c r="AI104" s="41">
        <f t="shared" si="3"/>
        <v>0</v>
      </c>
    </row>
    <row r="105" spans="1:35" s="2" customFormat="1" ht="23.25" customHeight="1">
      <c r="A105" s="6" t="s">
        <v>274</v>
      </c>
      <c r="B105" s="11" t="s">
        <v>275</v>
      </c>
      <c r="C105" s="28" t="s">
        <v>28</v>
      </c>
      <c r="D105" s="11" t="s">
        <v>408</v>
      </c>
      <c r="E105" s="12"/>
      <c r="F105" s="30">
        <v>0</v>
      </c>
      <c r="G105" s="31">
        <v>0</v>
      </c>
      <c r="H105" s="31">
        <v>0</v>
      </c>
      <c r="I105" s="31">
        <v>0</v>
      </c>
      <c r="J105" s="31">
        <v>0</v>
      </c>
      <c r="K105" s="32"/>
      <c r="L105" s="33"/>
      <c r="M105" s="31" t="s">
        <v>387</v>
      </c>
      <c r="N105" s="31" t="s">
        <v>387</v>
      </c>
      <c r="O105" s="31"/>
      <c r="P105" s="34">
        <v>0</v>
      </c>
      <c r="Q105" s="31"/>
      <c r="R105" s="35">
        <v>62</v>
      </c>
      <c r="S105" s="31">
        <v>1050</v>
      </c>
      <c r="T105" s="31">
        <v>0</v>
      </c>
      <c r="U105" s="31"/>
      <c r="V105" s="36">
        <v>0</v>
      </c>
      <c r="W105" s="31"/>
      <c r="X105" s="37">
        <v>0</v>
      </c>
      <c r="Y105" s="31"/>
      <c r="Z105" s="37">
        <v>0</v>
      </c>
      <c r="AA105" s="31"/>
      <c r="AB105" s="38"/>
      <c r="AC105" s="31"/>
      <c r="AD105" s="39"/>
      <c r="AE105" s="39"/>
      <c r="AF105" s="39"/>
      <c r="AG105" s="39">
        <v>-11239</v>
      </c>
      <c r="AH105" s="31"/>
      <c r="AI105" s="40">
        <f t="shared" si="3"/>
        <v>-11239</v>
      </c>
    </row>
    <row r="106" spans="1:35" s="2" customFormat="1" ht="23.25" customHeight="1">
      <c r="A106" s="7" t="s">
        <v>276</v>
      </c>
      <c r="B106" s="14" t="s">
        <v>277</v>
      </c>
      <c r="C106" s="29" t="s">
        <v>28</v>
      </c>
      <c r="D106" s="15" t="s">
        <v>408</v>
      </c>
      <c r="E106" s="12"/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/>
      <c r="L106" s="31"/>
      <c r="M106" s="31" t="s">
        <v>387</v>
      </c>
      <c r="N106" s="31" t="s">
        <v>387</v>
      </c>
      <c r="O106" s="31"/>
      <c r="P106" s="31" t="s">
        <v>387</v>
      </c>
      <c r="Q106" s="31"/>
      <c r="R106" s="31" t="s">
        <v>387</v>
      </c>
      <c r="S106" s="31">
        <v>56</v>
      </c>
      <c r="T106" s="31">
        <v>0</v>
      </c>
      <c r="U106" s="31"/>
      <c r="V106" s="31" t="s">
        <v>387</v>
      </c>
      <c r="W106" s="31"/>
      <c r="X106" s="31">
        <v>0</v>
      </c>
      <c r="Y106" s="31"/>
      <c r="Z106" s="31">
        <v>0</v>
      </c>
      <c r="AA106" s="31"/>
      <c r="AB106" s="38"/>
      <c r="AC106" s="31"/>
      <c r="AD106" s="31"/>
      <c r="AE106" s="31"/>
      <c r="AF106" s="31"/>
      <c r="AG106" s="31">
        <v>-3907</v>
      </c>
      <c r="AH106" s="31"/>
      <c r="AI106" s="41">
        <f t="shared" si="3"/>
        <v>-3907</v>
      </c>
    </row>
    <row r="107" spans="1:35" s="2" customFormat="1" ht="23.25" customHeight="1">
      <c r="A107" s="6" t="s">
        <v>278</v>
      </c>
      <c r="B107" s="11" t="s">
        <v>279</v>
      </c>
      <c r="C107" s="28" t="s">
        <v>28</v>
      </c>
      <c r="D107" s="11" t="s">
        <v>408</v>
      </c>
      <c r="E107" s="12"/>
      <c r="F107" s="30">
        <v>0</v>
      </c>
      <c r="G107" s="31">
        <v>0</v>
      </c>
      <c r="H107" s="31">
        <v>0</v>
      </c>
      <c r="I107" s="31">
        <v>0</v>
      </c>
      <c r="J107" s="31">
        <v>0</v>
      </c>
      <c r="K107" s="32"/>
      <c r="L107" s="33"/>
      <c r="M107" s="31" t="s">
        <v>387</v>
      </c>
      <c r="N107" s="31" t="s">
        <v>387</v>
      </c>
      <c r="O107" s="31"/>
      <c r="P107" s="34">
        <v>0</v>
      </c>
      <c r="Q107" s="31"/>
      <c r="R107" s="35">
        <v>1334</v>
      </c>
      <c r="S107" s="31">
        <v>22539</v>
      </c>
      <c r="T107" s="31">
        <v>0</v>
      </c>
      <c r="U107" s="31"/>
      <c r="V107" s="36">
        <v>0</v>
      </c>
      <c r="W107" s="31"/>
      <c r="X107" s="37">
        <v>0</v>
      </c>
      <c r="Y107" s="31"/>
      <c r="Z107" s="37">
        <v>0</v>
      </c>
      <c r="AA107" s="31"/>
      <c r="AB107" s="38"/>
      <c r="AC107" s="31"/>
      <c r="AD107" s="39"/>
      <c r="AE107" s="39"/>
      <c r="AF107" s="39"/>
      <c r="AG107" s="39">
        <v>-32514</v>
      </c>
      <c r="AH107" s="31"/>
      <c r="AI107" s="40">
        <f t="shared" si="3"/>
        <v>-32514</v>
      </c>
    </row>
    <row r="108" spans="1:35" s="2" customFormat="1" ht="23.25" customHeight="1">
      <c r="A108" s="7" t="s">
        <v>280</v>
      </c>
      <c r="B108" s="14" t="s">
        <v>281</v>
      </c>
      <c r="C108" s="29" t="s">
        <v>28</v>
      </c>
      <c r="D108" s="15" t="s">
        <v>408</v>
      </c>
      <c r="E108" s="12"/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/>
      <c r="L108" s="31">
        <v>0</v>
      </c>
      <c r="M108" s="31" t="s">
        <v>387</v>
      </c>
      <c r="N108" s="31" t="s">
        <v>387</v>
      </c>
      <c r="O108" s="31"/>
      <c r="P108" s="31">
        <v>0</v>
      </c>
      <c r="Q108" s="31"/>
      <c r="R108" s="31">
        <v>333</v>
      </c>
      <c r="S108" s="31">
        <v>5623</v>
      </c>
      <c r="T108" s="31">
        <v>0</v>
      </c>
      <c r="U108" s="31"/>
      <c r="V108" s="31">
        <v>0</v>
      </c>
      <c r="W108" s="31"/>
      <c r="X108" s="31">
        <v>0</v>
      </c>
      <c r="Y108" s="31"/>
      <c r="Z108" s="31">
        <v>0</v>
      </c>
      <c r="AA108" s="31"/>
      <c r="AB108" s="38"/>
      <c r="AC108" s="31"/>
      <c r="AD108" s="31"/>
      <c r="AE108" s="31"/>
      <c r="AF108" s="31"/>
      <c r="AG108" s="31">
        <v>-18593</v>
      </c>
      <c r="AH108" s="31"/>
      <c r="AI108" s="41">
        <f t="shared" si="3"/>
        <v>-18593</v>
      </c>
    </row>
    <row r="109" spans="1:35" s="2" customFormat="1" ht="23.25" customHeight="1">
      <c r="A109" s="6" t="s">
        <v>282</v>
      </c>
      <c r="B109" s="11" t="s">
        <v>283</v>
      </c>
      <c r="C109" s="28" t="s">
        <v>28</v>
      </c>
      <c r="D109" s="11" t="s">
        <v>408</v>
      </c>
      <c r="E109" s="12"/>
      <c r="F109" s="30">
        <v>0</v>
      </c>
      <c r="G109" s="31">
        <v>0</v>
      </c>
      <c r="H109" s="31">
        <v>0</v>
      </c>
      <c r="I109" s="31">
        <v>0</v>
      </c>
      <c r="J109" s="31">
        <v>0</v>
      </c>
      <c r="K109" s="32"/>
      <c r="L109" s="33">
        <v>0</v>
      </c>
      <c r="M109" s="31" t="s">
        <v>387</v>
      </c>
      <c r="N109" s="31">
        <v>0</v>
      </c>
      <c r="O109" s="31"/>
      <c r="P109" s="34">
        <v>0</v>
      </c>
      <c r="Q109" s="31"/>
      <c r="R109" s="35">
        <v>390</v>
      </c>
      <c r="S109" s="31">
        <v>6593</v>
      </c>
      <c r="T109" s="31">
        <v>0</v>
      </c>
      <c r="U109" s="31"/>
      <c r="V109" s="36">
        <v>0</v>
      </c>
      <c r="W109" s="31"/>
      <c r="X109" s="37">
        <v>0</v>
      </c>
      <c r="Y109" s="31"/>
      <c r="Z109" s="37">
        <v>0</v>
      </c>
      <c r="AA109" s="31"/>
      <c r="AB109" s="38"/>
      <c r="AC109" s="31"/>
      <c r="AD109" s="39"/>
      <c r="AE109" s="39"/>
      <c r="AF109" s="39"/>
      <c r="AG109" s="39">
        <v>-31942</v>
      </c>
      <c r="AH109" s="31"/>
      <c r="AI109" s="40">
        <f t="shared" si="3"/>
        <v>-31942</v>
      </c>
    </row>
    <row r="110" spans="1:35" s="2" customFormat="1" ht="23.25" customHeight="1">
      <c r="A110" s="7" t="s">
        <v>90</v>
      </c>
      <c r="B110" s="14" t="s">
        <v>91</v>
      </c>
      <c r="C110" s="29" t="s">
        <v>11</v>
      </c>
      <c r="D110" s="15" t="s">
        <v>409</v>
      </c>
      <c r="E110" s="12"/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/>
      <c r="L110" s="31">
        <v>0</v>
      </c>
      <c r="M110" s="31" t="s">
        <v>387</v>
      </c>
      <c r="N110" s="31" t="s">
        <v>387</v>
      </c>
      <c r="O110" s="31"/>
      <c r="P110" s="31">
        <v>0</v>
      </c>
      <c r="Q110" s="31"/>
      <c r="R110" s="31">
        <v>10233</v>
      </c>
      <c r="S110" s="31">
        <v>75253</v>
      </c>
      <c r="T110" s="31">
        <v>18402.732391588706</v>
      </c>
      <c r="U110" s="31"/>
      <c r="V110" s="31">
        <v>73021</v>
      </c>
      <c r="W110" s="31"/>
      <c r="X110" s="31">
        <v>2696</v>
      </c>
      <c r="Y110" s="31"/>
      <c r="Z110" s="31">
        <v>0</v>
      </c>
      <c r="AA110" s="31"/>
      <c r="AB110" s="38"/>
      <c r="AC110" s="31"/>
      <c r="AD110" s="31"/>
      <c r="AE110" s="31"/>
      <c r="AF110" s="31"/>
      <c r="AG110" s="31">
        <v>-52187</v>
      </c>
      <c r="AH110" s="31"/>
      <c r="AI110" s="41">
        <f t="shared" si="3"/>
        <v>-52187</v>
      </c>
    </row>
    <row r="111" spans="1:35" s="2" customFormat="1" ht="23.25" customHeight="1">
      <c r="A111" s="6" t="s">
        <v>118</v>
      </c>
      <c r="B111" s="11" t="s">
        <v>119</v>
      </c>
      <c r="C111" s="28" t="s">
        <v>38</v>
      </c>
      <c r="D111" s="11" t="s">
        <v>409</v>
      </c>
      <c r="E111" s="12"/>
      <c r="F111" s="30">
        <v>0</v>
      </c>
      <c r="G111" s="31">
        <v>0</v>
      </c>
      <c r="H111" s="31">
        <v>0</v>
      </c>
      <c r="I111" s="31">
        <v>0</v>
      </c>
      <c r="J111" s="31">
        <v>0</v>
      </c>
      <c r="K111" s="32"/>
      <c r="L111" s="33">
        <v>119576</v>
      </c>
      <c r="M111" s="31">
        <v>177324</v>
      </c>
      <c r="N111" s="31">
        <v>122096</v>
      </c>
      <c r="O111" s="31"/>
      <c r="P111" s="34">
        <v>26995</v>
      </c>
      <c r="Q111" s="31"/>
      <c r="R111" s="35">
        <v>57427</v>
      </c>
      <c r="S111" s="31">
        <v>413649</v>
      </c>
      <c r="T111" s="31">
        <v>83873.620411246971</v>
      </c>
      <c r="U111" s="31"/>
      <c r="V111" s="36">
        <v>365447</v>
      </c>
      <c r="W111" s="31"/>
      <c r="X111" s="37">
        <v>33851</v>
      </c>
      <c r="Y111" s="31"/>
      <c r="Z111" s="37">
        <v>0</v>
      </c>
      <c r="AA111" s="31"/>
      <c r="AB111" s="38"/>
      <c r="AC111" s="31"/>
      <c r="AD111" s="39"/>
      <c r="AE111" s="39"/>
      <c r="AF111" s="39"/>
      <c r="AG111" s="39">
        <v>-380716</v>
      </c>
      <c r="AH111" s="31"/>
      <c r="AI111" s="40">
        <f t="shared" si="3"/>
        <v>-380716</v>
      </c>
    </row>
    <row r="112" spans="1:35" s="2" customFormat="1" ht="23.25" customHeight="1">
      <c r="A112" s="7" t="s">
        <v>177</v>
      </c>
      <c r="B112" s="14" t="s">
        <v>178</v>
      </c>
      <c r="C112" s="29" t="s">
        <v>8</v>
      </c>
      <c r="D112" s="15" t="s">
        <v>409</v>
      </c>
      <c r="E112" s="12"/>
      <c r="F112" s="31">
        <v>-36710.607390378093</v>
      </c>
      <c r="G112" s="31">
        <v>-62932.607390378093</v>
      </c>
      <c r="H112" s="31">
        <v>0</v>
      </c>
      <c r="I112" s="31">
        <v>26222</v>
      </c>
      <c r="J112" s="31">
        <v>0</v>
      </c>
      <c r="K112" s="31"/>
      <c r="L112" s="31">
        <v>59788</v>
      </c>
      <c r="M112" s="31" t="s">
        <v>387</v>
      </c>
      <c r="N112" s="31">
        <v>61048</v>
      </c>
      <c r="O112" s="31"/>
      <c r="P112" s="31">
        <v>37059</v>
      </c>
      <c r="Q112" s="31"/>
      <c r="R112" s="31">
        <v>270633</v>
      </c>
      <c r="S112" s="31">
        <v>1384089</v>
      </c>
      <c r="T112" s="31">
        <v>311348.10834548628</v>
      </c>
      <c r="U112" s="31"/>
      <c r="V112" s="31">
        <v>868225</v>
      </c>
      <c r="W112" s="31"/>
      <c r="X112" s="31">
        <v>53465</v>
      </c>
      <c r="Y112" s="31"/>
      <c r="Z112" s="31">
        <v>135936</v>
      </c>
      <c r="AA112" s="31"/>
      <c r="AB112" s="38"/>
      <c r="AC112" s="31"/>
      <c r="AD112" s="31"/>
      <c r="AE112" s="31"/>
      <c r="AF112" s="31"/>
      <c r="AG112" s="31">
        <v>-985638</v>
      </c>
      <c r="AH112" s="31"/>
      <c r="AI112" s="41">
        <f t="shared" si="3"/>
        <v>-985638</v>
      </c>
    </row>
    <row r="113" spans="1:35" s="2" customFormat="1" ht="23.25" customHeight="1">
      <c r="A113" s="6" t="s">
        <v>284</v>
      </c>
      <c r="B113" s="11" t="s">
        <v>285</v>
      </c>
      <c r="C113" s="28" t="s">
        <v>28</v>
      </c>
      <c r="D113" s="11" t="s">
        <v>409</v>
      </c>
      <c r="E113" s="12"/>
      <c r="F113" s="30">
        <v>0</v>
      </c>
      <c r="G113" s="31">
        <v>0</v>
      </c>
      <c r="H113" s="31">
        <v>0</v>
      </c>
      <c r="I113" s="31">
        <v>0</v>
      </c>
      <c r="J113" s="31">
        <v>0</v>
      </c>
      <c r="K113" s="32"/>
      <c r="L113" s="33"/>
      <c r="M113" s="31" t="s">
        <v>387</v>
      </c>
      <c r="N113" s="31">
        <v>0</v>
      </c>
      <c r="O113" s="31"/>
      <c r="P113" s="34" t="s">
        <v>387</v>
      </c>
      <c r="Q113" s="31"/>
      <c r="R113" s="35" t="s">
        <v>387</v>
      </c>
      <c r="S113" s="31">
        <v>0</v>
      </c>
      <c r="T113" s="31">
        <v>0</v>
      </c>
      <c r="U113" s="31"/>
      <c r="V113" s="36" t="s">
        <v>387</v>
      </c>
      <c r="W113" s="31"/>
      <c r="X113" s="37">
        <v>0</v>
      </c>
      <c r="Y113" s="31"/>
      <c r="Z113" s="37">
        <v>0</v>
      </c>
      <c r="AA113" s="31"/>
      <c r="AB113" s="38"/>
      <c r="AC113" s="31"/>
      <c r="AD113" s="39"/>
      <c r="AE113" s="39"/>
      <c r="AF113" s="39"/>
      <c r="AG113" s="39">
        <v>0</v>
      </c>
      <c r="AH113" s="31"/>
      <c r="AI113" s="40">
        <f t="shared" si="3"/>
        <v>0</v>
      </c>
    </row>
    <row r="114" spans="1:35" s="2" customFormat="1" ht="23.25" customHeight="1">
      <c r="A114" s="7"/>
      <c r="B114" s="14" t="s">
        <v>443</v>
      </c>
      <c r="C114" s="29" t="s">
        <v>28</v>
      </c>
      <c r="D114" s="15" t="s">
        <v>407</v>
      </c>
      <c r="E114" s="12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 t="s">
        <v>387</v>
      </c>
      <c r="Q114" s="31"/>
      <c r="R114" s="31" t="s">
        <v>387</v>
      </c>
      <c r="S114" s="31"/>
      <c r="T114" s="31"/>
      <c r="U114" s="31"/>
      <c r="V114" s="31" t="s">
        <v>387</v>
      </c>
      <c r="W114" s="31"/>
      <c r="X114" s="31"/>
      <c r="Y114" s="31"/>
      <c r="Z114" s="31"/>
      <c r="AA114" s="31"/>
      <c r="AB114" s="38"/>
      <c r="AC114" s="31"/>
      <c r="AD114" s="31"/>
      <c r="AE114" s="31"/>
      <c r="AF114" s="31"/>
      <c r="AG114" s="31"/>
      <c r="AH114" s="31"/>
      <c r="AI114" s="41"/>
    </row>
    <row r="115" spans="1:35" s="2" customFormat="1" ht="23.25" customHeight="1">
      <c r="A115" s="6" t="s">
        <v>179</v>
      </c>
      <c r="B115" s="11" t="s">
        <v>180</v>
      </c>
      <c r="C115" s="28" t="s">
        <v>11</v>
      </c>
      <c r="D115" s="11" t="s">
        <v>422</v>
      </c>
      <c r="E115" s="12"/>
      <c r="F115" s="30">
        <v>0</v>
      </c>
      <c r="G115" s="31">
        <v>0</v>
      </c>
      <c r="H115" s="31">
        <v>0</v>
      </c>
      <c r="I115" s="31">
        <v>0</v>
      </c>
      <c r="J115" s="31">
        <v>0</v>
      </c>
      <c r="K115" s="32"/>
      <c r="L115" s="33">
        <v>340424</v>
      </c>
      <c r="M115" s="31">
        <v>206878</v>
      </c>
      <c r="N115" s="31">
        <v>342872</v>
      </c>
      <c r="O115" s="31"/>
      <c r="P115" s="34">
        <v>0</v>
      </c>
      <c r="Q115" s="31"/>
      <c r="R115" s="35">
        <v>34220</v>
      </c>
      <c r="S115" s="31">
        <v>158160</v>
      </c>
      <c r="T115" s="31">
        <v>31094.077267449793</v>
      </c>
      <c r="U115" s="31"/>
      <c r="V115" s="36">
        <v>0</v>
      </c>
      <c r="W115" s="31"/>
      <c r="X115" s="37">
        <v>48912</v>
      </c>
      <c r="Y115" s="31"/>
      <c r="Z115" s="37">
        <v>11264</v>
      </c>
      <c r="AA115" s="31"/>
      <c r="AB115" s="38"/>
      <c r="AC115" s="31"/>
      <c r="AD115" s="39"/>
      <c r="AE115" s="39"/>
      <c r="AF115" s="39"/>
      <c r="AG115" s="39">
        <v>-146067</v>
      </c>
      <c r="AH115" s="31"/>
      <c r="AI115" s="40">
        <f t="shared" si="3"/>
        <v>-146067</v>
      </c>
    </row>
    <row r="116" spans="1:35" s="2" customFormat="1" ht="23.25" customHeight="1">
      <c r="A116" s="7" t="s">
        <v>181</v>
      </c>
      <c r="B116" s="14" t="s">
        <v>182</v>
      </c>
      <c r="C116" s="29" t="s">
        <v>5</v>
      </c>
      <c r="D116" s="15" t="s">
        <v>410</v>
      </c>
      <c r="E116" s="12"/>
      <c r="F116" s="31">
        <v>-378101.65924327337</v>
      </c>
      <c r="G116" s="31">
        <v>-78101.659243273389</v>
      </c>
      <c r="H116" s="31">
        <v>0</v>
      </c>
      <c r="I116" s="31">
        <v>-300000</v>
      </c>
      <c r="J116" s="31">
        <v>0</v>
      </c>
      <c r="K116" s="31"/>
      <c r="L116" s="31">
        <v>149470</v>
      </c>
      <c r="M116" s="31">
        <v>147770</v>
      </c>
      <c r="N116" s="31">
        <v>152620</v>
      </c>
      <c r="O116" s="31"/>
      <c r="P116" s="31">
        <v>77433</v>
      </c>
      <c r="Q116" s="31"/>
      <c r="R116" s="31">
        <v>289917</v>
      </c>
      <c r="S116" s="31">
        <v>1229731</v>
      </c>
      <c r="T116" s="31">
        <v>218330.29487941638</v>
      </c>
      <c r="U116" s="31"/>
      <c r="V116" s="31">
        <v>800804</v>
      </c>
      <c r="W116" s="31"/>
      <c r="X116" s="31">
        <v>210975</v>
      </c>
      <c r="Y116" s="31"/>
      <c r="Z116" s="31">
        <v>131584</v>
      </c>
      <c r="AA116" s="31"/>
      <c r="AB116" s="38"/>
      <c r="AC116" s="31"/>
      <c r="AD116" s="31"/>
      <c r="AE116" s="31"/>
      <c r="AF116" s="31"/>
      <c r="AG116" s="31">
        <v>-754148</v>
      </c>
      <c r="AH116" s="31"/>
      <c r="AI116" s="41">
        <f t="shared" si="3"/>
        <v>-754148</v>
      </c>
    </row>
    <row r="117" spans="1:35" s="2" customFormat="1" ht="23.25" customHeight="1">
      <c r="A117" s="6" t="s">
        <v>212</v>
      </c>
      <c r="B117" s="11" t="s">
        <v>213</v>
      </c>
      <c r="C117" s="28" t="s">
        <v>38</v>
      </c>
      <c r="D117" s="11" t="s">
        <v>410</v>
      </c>
      <c r="E117" s="12"/>
      <c r="F117" s="30">
        <v>0</v>
      </c>
      <c r="G117" s="31">
        <v>0</v>
      </c>
      <c r="H117" s="31">
        <v>0</v>
      </c>
      <c r="I117" s="31">
        <v>0</v>
      </c>
      <c r="J117" s="31">
        <v>0</v>
      </c>
      <c r="K117" s="32"/>
      <c r="L117" s="33">
        <v>89682</v>
      </c>
      <c r="M117" s="31">
        <v>147770</v>
      </c>
      <c r="N117" s="31">
        <v>91572</v>
      </c>
      <c r="O117" s="31"/>
      <c r="P117" s="34">
        <v>72552</v>
      </c>
      <c r="Q117" s="31"/>
      <c r="R117" s="35">
        <v>22053</v>
      </c>
      <c r="S117" s="31">
        <v>151390</v>
      </c>
      <c r="T117" s="31">
        <v>29323.859359135022</v>
      </c>
      <c r="U117" s="31"/>
      <c r="V117" s="36">
        <v>135650</v>
      </c>
      <c r="W117" s="31"/>
      <c r="X117" s="37">
        <v>33825</v>
      </c>
      <c r="Y117" s="31"/>
      <c r="Z117" s="37">
        <v>0</v>
      </c>
      <c r="AA117" s="31"/>
      <c r="AB117" s="38"/>
      <c r="AC117" s="31"/>
      <c r="AD117" s="39"/>
      <c r="AE117" s="39"/>
      <c r="AF117" s="39"/>
      <c r="AG117" s="39">
        <v>-142529</v>
      </c>
      <c r="AH117" s="31"/>
      <c r="AI117" s="40">
        <f t="shared" si="3"/>
        <v>-142529</v>
      </c>
    </row>
    <row r="118" spans="1:35" s="2" customFormat="1" ht="23.25" customHeight="1">
      <c r="A118" s="7" t="s">
        <v>22</v>
      </c>
      <c r="B118" s="14" t="s">
        <v>23</v>
      </c>
      <c r="C118" s="29" t="s">
        <v>8</v>
      </c>
      <c r="D118" s="15" t="s">
        <v>411</v>
      </c>
      <c r="E118" s="12"/>
      <c r="F118" s="31">
        <v>8411.3201545254342</v>
      </c>
      <c r="G118" s="31">
        <v>104204.81898645344</v>
      </c>
      <c r="H118" s="31">
        <v>-49126.498831928002</v>
      </c>
      <c r="I118" s="31">
        <v>-46667</v>
      </c>
      <c r="J118" s="31">
        <v>0</v>
      </c>
      <c r="K118" s="31"/>
      <c r="L118" s="31">
        <v>0</v>
      </c>
      <c r="M118" s="31">
        <v>59108</v>
      </c>
      <c r="N118" s="31" t="s">
        <v>387</v>
      </c>
      <c r="O118" s="31"/>
      <c r="P118" s="31">
        <v>54612</v>
      </c>
      <c r="Q118" s="31"/>
      <c r="R118" s="31">
        <v>209512</v>
      </c>
      <c r="S118" s="31">
        <v>1066487</v>
      </c>
      <c r="T118" s="31">
        <v>224236.95294038148</v>
      </c>
      <c r="U118" s="31"/>
      <c r="V118" s="31">
        <v>913053</v>
      </c>
      <c r="W118" s="31"/>
      <c r="X118" s="31">
        <v>99591</v>
      </c>
      <c r="Y118" s="31"/>
      <c r="Z118" s="31">
        <v>0</v>
      </c>
      <c r="AA118" s="31"/>
      <c r="AB118" s="38"/>
      <c r="AC118" s="31"/>
      <c r="AD118" s="31"/>
      <c r="AE118" s="31"/>
      <c r="AF118" s="31"/>
      <c r="AG118" s="31">
        <v>-743307</v>
      </c>
      <c r="AH118" s="31"/>
      <c r="AI118" s="41">
        <f t="shared" si="3"/>
        <v>-743307</v>
      </c>
    </row>
    <row r="119" spans="1:35" s="2" customFormat="1" ht="23.25" customHeight="1">
      <c r="A119" s="6" t="s">
        <v>24</v>
      </c>
      <c r="B119" s="11" t="s">
        <v>25</v>
      </c>
      <c r="C119" s="28" t="s">
        <v>8</v>
      </c>
      <c r="D119" s="11" t="s">
        <v>411</v>
      </c>
      <c r="E119" s="12"/>
      <c r="F119" s="30">
        <v>0</v>
      </c>
      <c r="G119" s="31">
        <v>0</v>
      </c>
      <c r="H119" s="31">
        <v>0</v>
      </c>
      <c r="I119" s="31">
        <v>0</v>
      </c>
      <c r="J119" s="31">
        <v>0</v>
      </c>
      <c r="K119" s="32"/>
      <c r="L119" s="33">
        <v>239152</v>
      </c>
      <c r="M119" s="31">
        <v>236432</v>
      </c>
      <c r="N119" s="31">
        <v>213668</v>
      </c>
      <c r="O119" s="31"/>
      <c r="P119" s="34">
        <v>51683</v>
      </c>
      <c r="Q119" s="31"/>
      <c r="R119" s="35">
        <v>67221</v>
      </c>
      <c r="S119" s="31">
        <v>470921</v>
      </c>
      <c r="T119" s="31">
        <v>87243.109375302636</v>
      </c>
      <c r="U119" s="31"/>
      <c r="V119" s="36">
        <v>363913</v>
      </c>
      <c r="W119" s="31"/>
      <c r="X119" s="37">
        <v>29116</v>
      </c>
      <c r="Y119" s="31"/>
      <c r="Z119" s="37">
        <v>0</v>
      </c>
      <c r="AA119" s="31"/>
      <c r="AB119" s="38"/>
      <c r="AC119" s="31"/>
      <c r="AD119" s="39"/>
      <c r="AE119" s="39"/>
      <c r="AF119" s="39"/>
      <c r="AG119" s="39">
        <v>-410171</v>
      </c>
      <c r="AH119" s="31"/>
      <c r="AI119" s="40">
        <f t="shared" si="3"/>
        <v>-410171</v>
      </c>
    </row>
    <row r="120" spans="1:35" s="2" customFormat="1" ht="23.25" customHeight="1">
      <c r="A120" s="7" t="s">
        <v>76</v>
      </c>
      <c r="B120" s="14" t="s">
        <v>77</v>
      </c>
      <c r="C120" s="29" t="s">
        <v>59</v>
      </c>
      <c r="D120" s="15" t="s">
        <v>411</v>
      </c>
      <c r="E120" s="12"/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/>
      <c r="L120" s="31">
        <v>0</v>
      </c>
      <c r="M120" s="31" t="s">
        <v>387</v>
      </c>
      <c r="N120" s="31" t="s">
        <v>387</v>
      </c>
      <c r="O120" s="31"/>
      <c r="P120" s="31">
        <v>0</v>
      </c>
      <c r="Q120" s="31"/>
      <c r="R120" s="31">
        <v>18111</v>
      </c>
      <c r="S120" s="31">
        <v>124355</v>
      </c>
      <c r="T120" s="31">
        <v>6655.7970170332692</v>
      </c>
      <c r="U120" s="31"/>
      <c r="V120" s="31">
        <v>28093</v>
      </c>
      <c r="W120" s="31"/>
      <c r="X120" s="31">
        <v>0</v>
      </c>
      <c r="Y120" s="31"/>
      <c r="Z120" s="31">
        <v>0</v>
      </c>
      <c r="AA120" s="31"/>
      <c r="AB120" s="38"/>
      <c r="AC120" s="31"/>
      <c r="AD120" s="31"/>
      <c r="AE120" s="31"/>
      <c r="AF120" s="31"/>
      <c r="AG120" s="31">
        <v>-8482</v>
      </c>
      <c r="AH120" s="31"/>
      <c r="AI120" s="41">
        <f t="shared" si="3"/>
        <v>-8482</v>
      </c>
    </row>
    <row r="121" spans="1:35" s="2" customFormat="1" ht="23.25" customHeight="1">
      <c r="A121" s="6" t="s">
        <v>84</v>
      </c>
      <c r="B121" s="11" t="s">
        <v>85</v>
      </c>
      <c r="C121" s="28" t="s">
        <v>35</v>
      </c>
      <c r="D121" s="11" t="s">
        <v>411</v>
      </c>
      <c r="E121" s="12"/>
      <c r="F121" s="30">
        <v>0</v>
      </c>
      <c r="G121" s="31">
        <v>0</v>
      </c>
      <c r="H121" s="31">
        <v>0</v>
      </c>
      <c r="I121" s="31">
        <v>0</v>
      </c>
      <c r="J121" s="31">
        <v>0</v>
      </c>
      <c r="K121" s="32"/>
      <c r="L121" s="33">
        <v>0</v>
      </c>
      <c r="M121" s="31" t="s">
        <v>387</v>
      </c>
      <c r="N121" s="31" t="s">
        <v>387</v>
      </c>
      <c r="O121" s="31"/>
      <c r="P121" s="34">
        <v>0</v>
      </c>
      <c r="Q121" s="31"/>
      <c r="R121" s="35">
        <v>16179</v>
      </c>
      <c r="S121" s="31">
        <v>45744</v>
      </c>
      <c r="T121" s="31">
        <v>5376.8482889088791</v>
      </c>
      <c r="U121" s="31"/>
      <c r="V121" s="36">
        <v>9143</v>
      </c>
      <c r="W121" s="31"/>
      <c r="X121" s="37">
        <v>-3042</v>
      </c>
      <c r="Y121" s="31"/>
      <c r="Z121" s="37">
        <v>0</v>
      </c>
      <c r="AA121" s="31"/>
      <c r="AB121" s="38"/>
      <c r="AC121" s="31"/>
      <c r="AD121" s="39"/>
      <c r="AE121" s="39"/>
      <c r="AF121" s="39"/>
      <c r="AG121" s="39">
        <v>-30404</v>
      </c>
      <c r="AH121" s="31"/>
      <c r="AI121" s="40">
        <f t="shared" si="3"/>
        <v>-30404</v>
      </c>
    </row>
    <row r="122" spans="1:35" s="2" customFormat="1" ht="23.25" customHeight="1">
      <c r="A122" s="7" t="s">
        <v>108</v>
      </c>
      <c r="B122" s="14" t="s">
        <v>109</v>
      </c>
      <c r="C122" s="29" t="s">
        <v>35</v>
      </c>
      <c r="D122" s="15" t="s">
        <v>411</v>
      </c>
      <c r="E122" s="12"/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/>
      <c r="L122" s="31">
        <v>29894</v>
      </c>
      <c r="M122" s="31">
        <v>29554</v>
      </c>
      <c r="N122" s="31">
        <v>30524</v>
      </c>
      <c r="O122" s="31"/>
      <c r="P122" s="31">
        <v>0</v>
      </c>
      <c r="Q122" s="31"/>
      <c r="R122" s="31">
        <v>30187</v>
      </c>
      <c r="S122" s="31">
        <v>211449</v>
      </c>
      <c r="T122" s="31">
        <v>69813.801910444992</v>
      </c>
      <c r="U122" s="31"/>
      <c r="V122" s="31">
        <v>380338</v>
      </c>
      <c r="W122" s="31"/>
      <c r="X122" s="31">
        <v>-4345</v>
      </c>
      <c r="Y122" s="31"/>
      <c r="Z122" s="31">
        <v>0</v>
      </c>
      <c r="AA122" s="31"/>
      <c r="AB122" s="38"/>
      <c r="AC122" s="31"/>
      <c r="AD122" s="31"/>
      <c r="AE122" s="31"/>
      <c r="AF122" s="31"/>
      <c r="AG122" s="31">
        <v>-99775</v>
      </c>
      <c r="AH122" s="31"/>
      <c r="AI122" s="41">
        <f t="shared" si="3"/>
        <v>-99775</v>
      </c>
    </row>
    <row r="123" spans="1:35" s="2" customFormat="1" ht="23.25" customHeight="1">
      <c r="A123" s="6" t="s">
        <v>183</v>
      </c>
      <c r="B123" s="11" t="s">
        <v>184</v>
      </c>
      <c r="C123" s="28" t="s">
        <v>8</v>
      </c>
      <c r="D123" s="11" t="s">
        <v>411</v>
      </c>
      <c r="E123" s="12"/>
      <c r="F123" s="30">
        <v>-82129.814467132324</v>
      </c>
      <c r="G123" s="31">
        <v>-42129.814467132324</v>
      </c>
      <c r="H123" s="31">
        <v>0</v>
      </c>
      <c r="I123" s="31">
        <v>-40000</v>
      </c>
      <c r="J123" s="31">
        <v>0</v>
      </c>
      <c r="K123" s="32"/>
      <c r="L123" s="33">
        <v>1345230</v>
      </c>
      <c r="M123" s="31">
        <v>1063944</v>
      </c>
      <c r="N123" s="31">
        <v>1312532</v>
      </c>
      <c r="O123" s="31"/>
      <c r="P123" s="34">
        <v>212591</v>
      </c>
      <c r="Q123" s="31"/>
      <c r="R123" s="35">
        <v>290405</v>
      </c>
      <c r="S123" s="31">
        <v>1515658</v>
      </c>
      <c r="T123" s="31">
        <v>324587.82360674354</v>
      </c>
      <c r="U123" s="31"/>
      <c r="V123" s="36">
        <v>828563</v>
      </c>
      <c r="W123" s="31"/>
      <c r="X123" s="37">
        <v>18328</v>
      </c>
      <c r="Y123" s="31"/>
      <c r="Z123" s="37">
        <v>0</v>
      </c>
      <c r="AA123" s="31"/>
      <c r="AB123" s="38"/>
      <c r="AC123" s="31"/>
      <c r="AD123" s="39"/>
      <c r="AE123" s="39"/>
      <c r="AF123" s="39"/>
      <c r="AG123" s="39">
        <v>-1184091</v>
      </c>
      <c r="AH123" s="31"/>
      <c r="AI123" s="40">
        <f t="shared" si="3"/>
        <v>-1184091</v>
      </c>
    </row>
    <row r="124" spans="1:35" s="2" customFormat="1" ht="23.25" customHeight="1">
      <c r="A124" s="7" t="s">
        <v>185</v>
      </c>
      <c r="B124" s="14" t="s">
        <v>186</v>
      </c>
      <c r="C124" s="29" t="s">
        <v>8</v>
      </c>
      <c r="D124" s="15" t="s">
        <v>411</v>
      </c>
      <c r="E124" s="12"/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/>
      <c r="L124" s="31">
        <v>448410</v>
      </c>
      <c r="M124" s="31">
        <v>384202</v>
      </c>
      <c r="N124" s="31">
        <v>427336</v>
      </c>
      <c r="O124" s="31"/>
      <c r="P124" s="31">
        <v>68614</v>
      </c>
      <c r="Q124" s="31"/>
      <c r="R124" s="31">
        <v>112615</v>
      </c>
      <c r="S124" s="31">
        <v>679842</v>
      </c>
      <c r="T124" s="31">
        <v>123826.10523518153</v>
      </c>
      <c r="U124" s="31"/>
      <c r="V124" s="31">
        <v>227268</v>
      </c>
      <c r="W124" s="31"/>
      <c r="X124" s="31">
        <v>319158</v>
      </c>
      <c r="Y124" s="31"/>
      <c r="Z124" s="31">
        <v>0</v>
      </c>
      <c r="AA124" s="31"/>
      <c r="AB124" s="38"/>
      <c r="AC124" s="31"/>
      <c r="AD124" s="31"/>
      <c r="AE124" s="31"/>
      <c r="AF124" s="31"/>
      <c r="AG124" s="31">
        <v>-537538</v>
      </c>
      <c r="AH124" s="31"/>
      <c r="AI124" s="41">
        <f t="shared" si="3"/>
        <v>-537538</v>
      </c>
    </row>
    <row r="125" spans="1:35" s="2" customFormat="1" ht="23.25" customHeight="1">
      <c r="A125" s="6" t="s">
        <v>286</v>
      </c>
      <c r="B125" s="11" t="s">
        <v>287</v>
      </c>
      <c r="C125" s="28" t="s">
        <v>28</v>
      </c>
      <c r="D125" s="11" t="s">
        <v>411</v>
      </c>
      <c r="E125" s="12"/>
      <c r="F125" s="30">
        <v>0</v>
      </c>
      <c r="G125" s="31">
        <v>0</v>
      </c>
      <c r="H125" s="31">
        <v>0</v>
      </c>
      <c r="I125" s="31">
        <v>0</v>
      </c>
      <c r="J125" s="31">
        <v>0</v>
      </c>
      <c r="K125" s="32"/>
      <c r="L125" s="33">
        <v>0</v>
      </c>
      <c r="M125" s="31" t="s">
        <v>387</v>
      </c>
      <c r="N125" s="31">
        <v>0</v>
      </c>
      <c r="O125" s="31"/>
      <c r="P125" s="34">
        <v>0</v>
      </c>
      <c r="Q125" s="31"/>
      <c r="R125" s="35">
        <v>287</v>
      </c>
      <c r="S125" s="31">
        <v>4851</v>
      </c>
      <c r="T125" s="31">
        <v>0</v>
      </c>
      <c r="U125" s="31"/>
      <c r="V125" s="36">
        <v>0</v>
      </c>
      <c r="W125" s="31"/>
      <c r="X125" s="37">
        <v>0</v>
      </c>
      <c r="Y125" s="31"/>
      <c r="Z125" s="37">
        <v>0</v>
      </c>
      <c r="AA125" s="31"/>
      <c r="AB125" s="38"/>
      <c r="AC125" s="31"/>
      <c r="AD125" s="39"/>
      <c r="AE125" s="39"/>
      <c r="AF125" s="39"/>
      <c r="AG125" s="39">
        <v>-5641</v>
      </c>
      <c r="AH125" s="31"/>
      <c r="AI125" s="40">
        <f t="shared" si="3"/>
        <v>-5641</v>
      </c>
    </row>
    <row r="126" spans="1:35" s="2" customFormat="1" ht="23.25" customHeight="1">
      <c r="A126" s="7" t="s">
        <v>288</v>
      </c>
      <c r="B126" s="14" t="s">
        <v>289</v>
      </c>
      <c r="C126" s="29" t="s">
        <v>28</v>
      </c>
      <c r="D126" s="15" t="s">
        <v>411</v>
      </c>
      <c r="E126" s="12"/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/>
      <c r="L126" s="31">
        <v>0</v>
      </c>
      <c r="M126" s="31" t="s">
        <v>387</v>
      </c>
      <c r="N126" s="31">
        <v>0</v>
      </c>
      <c r="O126" s="31"/>
      <c r="P126" s="31">
        <v>0</v>
      </c>
      <c r="Q126" s="31"/>
      <c r="R126" s="31">
        <v>443</v>
      </c>
      <c r="S126" s="31">
        <v>7488</v>
      </c>
      <c r="T126" s="31">
        <v>0</v>
      </c>
      <c r="U126" s="31"/>
      <c r="V126" s="31">
        <v>0</v>
      </c>
      <c r="W126" s="31"/>
      <c r="X126" s="31">
        <v>-217</v>
      </c>
      <c r="Y126" s="31"/>
      <c r="Z126" s="31">
        <v>0</v>
      </c>
      <c r="AA126" s="31"/>
      <c r="AB126" s="38"/>
      <c r="AC126" s="31"/>
      <c r="AD126" s="31"/>
      <c r="AE126" s="31"/>
      <c r="AF126" s="31"/>
      <c r="AG126" s="31">
        <v>-42821</v>
      </c>
      <c r="AH126" s="31"/>
      <c r="AI126" s="41">
        <f t="shared" si="3"/>
        <v>-42821</v>
      </c>
    </row>
    <row r="127" spans="1:35" s="2" customFormat="1" ht="23.25" customHeight="1">
      <c r="A127" s="6" t="s">
        <v>290</v>
      </c>
      <c r="B127" s="11" t="s">
        <v>291</v>
      </c>
      <c r="C127" s="28" t="s">
        <v>28</v>
      </c>
      <c r="D127" s="11" t="s">
        <v>411</v>
      </c>
      <c r="E127" s="12"/>
      <c r="F127" s="30">
        <v>0</v>
      </c>
      <c r="G127" s="31">
        <v>0</v>
      </c>
      <c r="H127" s="31">
        <v>0</v>
      </c>
      <c r="I127" s="31">
        <v>0</v>
      </c>
      <c r="J127" s="31">
        <v>0</v>
      </c>
      <c r="K127" s="32"/>
      <c r="L127" s="33"/>
      <c r="M127" s="31" t="s">
        <v>387</v>
      </c>
      <c r="N127" s="31">
        <v>0</v>
      </c>
      <c r="O127" s="31"/>
      <c r="P127" s="34" t="s">
        <v>387</v>
      </c>
      <c r="Q127" s="31"/>
      <c r="R127" s="35" t="s">
        <v>387</v>
      </c>
      <c r="S127" s="31">
        <v>0</v>
      </c>
      <c r="T127" s="31">
        <v>0</v>
      </c>
      <c r="U127" s="31"/>
      <c r="V127" s="36" t="s">
        <v>387</v>
      </c>
      <c r="W127" s="31"/>
      <c r="X127" s="37">
        <v>0</v>
      </c>
      <c r="Y127" s="31"/>
      <c r="Z127" s="37">
        <v>221952</v>
      </c>
      <c r="AA127" s="31"/>
      <c r="AB127" s="38"/>
      <c r="AC127" s="31"/>
      <c r="AD127" s="39"/>
      <c r="AE127" s="39"/>
      <c r="AF127" s="39"/>
      <c r="AG127" s="39">
        <v>0</v>
      </c>
      <c r="AH127" s="31"/>
      <c r="AI127" s="40">
        <f t="shared" si="3"/>
        <v>0</v>
      </c>
    </row>
    <row r="128" spans="1:35" s="2" customFormat="1" ht="23.25" customHeight="1">
      <c r="A128" s="7" t="s">
        <v>110</v>
      </c>
      <c r="B128" s="14" t="s">
        <v>111</v>
      </c>
      <c r="C128" s="29" t="s">
        <v>5</v>
      </c>
      <c r="D128" s="15" t="s">
        <v>412</v>
      </c>
      <c r="E128" s="12"/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/>
      <c r="L128" s="31">
        <v>29894</v>
      </c>
      <c r="M128" s="31">
        <v>59108</v>
      </c>
      <c r="N128" s="31">
        <v>30524</v>
      </c>
      <c r="O128" s="31"/>
      <c r="P128" s="31">
        <v>32178</v>
      </c>
      <c r="Q128" s="31"/>
      <c r="R128" s="31">
        <v>38066</v>
      </c>
      <c r="S128" s="31">
        <v>173659</v>
      </c>
      <c r="T128" s="31">
        <v>35556.420686721889</v>
      </c>
      <c r="U128" s="31"/>
      <c r="V128" s="31">
        <v>147555</v>
      </c>
      <c r="W128" s="31"/>
      <c r="X128" s="31">
        <v>-27450</v>
      </c>
      <c r="Y128" s="31"/>
      <c r="Z128" s="31">
        <v>0</v>
      </c>
      <c r="AA128" s="31"/>
      <c r="AB128" s="38"/>
      <c r="AC128" s="31"/>
      <c r="AD128" s="31"/>
      <c r="AE128" s="31"/>
      <c r="AF128" s="31"/>
      <c r="AG128" s="31">
        <v>-109330</v>
      </c>
      <c r="AH128" s="31"/>
      <c r="AI128" s="41">
        <f t="shared" si="3"/>
        <v>-109330</v>
      </c>
    </row>
    <row r="129" spans="1:35" s="2" customFormat="1" ht="23.25" customHeight="1">
      <c r="A129" s="6" t="s">
        <v>120</v>
      </c>
      <c r="B129" s="11" t="s">
        <v>121</v>
      </c>
      <c r="C129" s="28" t="s">
        <v>5</v>
      </c>
      <c r="D129" s="11" t="s">
        <v>412</v>
      </c>
      <c r="E129" s="12"/>
      <c r="F129" s="30">
        <v>0</v>
      </c>
      <c r="G129" s="31">
        <v>0</v>
      </c>
      <c r="H129" s="31">
        <v>0</v>
      </c>
      <c r="I129" s="31">
        <v>0</v>
      </c>
      <c r="J129" s="31">
        <v>0</v>
      </c>
      <c r="K129" s="32"/>
      <c r="L129" s="33">
        <v>149470</v>
      </c>
      <c r="M129" s="31">
        <v>147770</v>
      </c>
      <c r="N129" s="31">
        <v>152620</v>
      </c>
      <c r="O129" s="31"/>
      <c r="P129" s="34">
        <v>94363</v>
      </c>
      <c r="Q129" s="31"/>
      <c r="R129" s="35">
        <v>88796</v>
      </c>
      <c r="S129" s="31">
        <v>419100</v>
      </c>
      <c r="T129" s="31">
        <v>89698.141796175812</v>
      </c>
      <c r="U129" s="31"/>
      <c r="V129" s="36">
        <v>281070</v>
      </c>
      <c r="W129" s="31"/>
      <c r="X129" s="37">
        <v>-2086</v>
      </c>
      <c r="Y129" s="31"/>
      <c r="Z129" s="37">
        <v>0</v>
      </c>
      <c r="AA129" s="31"/>
      <c r="AB129" s="38"/>
      <c r="AC129" s="31"/>
      <c r="AD129" s="39"/>
      <c r="AE129" s="39"/>
      <c r="AF129" s="39"/>
      <c r="AG129" s="39">
        <v>-377032</v>
      </c>
      <c r="AH129" s="31"/>
      <c r="AI129" s="40">
        <f t="shared" si="3"/>
        <v>-377032</v>
      </c>
    </row>
    <row r="130" spans="1:35" s="2" customFormat="1" ht="23.25" customHeight="1">
      <c r="A130" s="7" t="s">
        <v>187</v>
      </c>
      <c r="B130" s="14" t="s">
        <v>188</v>
      </c>
      <c r="C130" s="29" t="s">
        <v>5</v>
      </c>
      <c r="D130" s="15" t="s">
        <v>412</v>
      </c>
      <c r="E130" s="12"/>
      <c r="F130" s="31">
        <v>-83375.525749228502</v>
      </c>
      <c r="G130" s="31">
        <v>93134</v>
      </c>
      <c r="H130" s="31">
        <v>-56509.525749228502</v>
      </c>
      <c r="I130" s="31">
        <v>-120000</v>
      </c>
      <c r="J130" s="31">
        <v>0</v>
      </c>
      <c r="K130" s="31"/>
      <c r="L130" s="31">
        <v>328834</v>
      </c>
      <c r="M130" s="31">
        <v>206878</v>
      </c>
      <c r="N130" s="31">
        <v>335764</v>
      </c>
      <c r="O130" s="31"/>
      <c r="P130" s="31">
        <v>80984</v>
      </c>
      <c r="Q130" s="31"/>
      <c r="R130" s="31">
        <v>246954</v>
      </c>
      <c r="S130" s="31">
        <v>1251659</v>
      </c>
      <c r="T130" s="31">
        <v>236147.19251388364</v>
      </c>
      <c r="U130" s="31"/>
      <c r="V130" s="31">
        <v>734646</v>
      </c>
      <c r="W130" s="31"/>
      <c r="X130" s="31">
        <v>190438</v>
      </c>
      <c r="Y130" s="31"/>
      <c r="Z130" s="31">
        <v>187648</v>
      </c>
      <c r="AA130" s="31"/>
      <c r="AB130" s="38"/>
      <c r="AC130" s="31"/>
      <c r="AD130" s="31"/>
      <c r="AE130" s="31"/>
      <c r="AF130" s="31"/>
      <c r="AG130" s="31">
        <v>-963745</v>
      </c>
      <c r="AH130" s="31"/>
      <c r="AI130" s="41">
        <f t="shared" si="3"/>
        <v>-963745</v>
      </c>
    </row>
    <row r="131" spans="1:35" s="2" customFormat="1" ht="23.25" customHeight="1">
      <c r="A131" s="6" t="s">
        <v>112</v>
      </c>
      <c r="B131" s="11" t="s">
        <v>113</v>
      </c>
      <c r="C131" s="28" t="s">
        <v>11</v>
      </c>
      <c r="D131" s="11" t="s">
        <v>413</v>
      </c>
      <c r="E131" s="12"/>
      <c r="F131" s="30">
        <v>0</v>
      </c>
      <c r="G131" s="31">
        <v>0</v>
      </c>
      <c r="H131" s="31">
        <v>0</v>
      </c>
      <c r="I131" s="31">
        <v>0</v>
      </c>
      <c r="J131" s="31">
        <v>0</v>
      </c>
      <c r="K131" s="32"/>
      <c r="L131" s="33">
        <v>119576</v>
      </c>
      <c r="M131" s="31">
        <v>118216</v>
      </c>
      <c r="N131" s="31">
        <v>122096</v>
      </c>
      <c r="O131" s="31"/>
      <c r="P131" s="34">
        <v>16813</v>
      </c>
      <c r="Q131" s="31"/>
      <c r="R131" s="35">
        <v>19951</v>
      </c>
      <c r="S131" s="31">
        <v>119339</v>
      </c>
      <c r="T131" s="31">
        <v>23055.669878248846</v>
      </c>
      <c r="U131" s="31"/>
      <c r="V131" s="36">
        <v>66910</v>
      </c>
      <c r="W131" s="31"/>
      <c r="X131" s="37">
        <v>38732</v>
      </c>
      <c r="Y131" s="31"/>
      <c r="Z131" s="37">
        <v>0</v>
      </c>
      <c r="AA131" s="31"/>
      <c r="AB131" s="38"/>
      <c r="AC131" s="31"/>
      <c r="AD131" s="39"/>
      <c r="AE131" s="39"/>
      <c r="AF131" s="39"/>
      <c r="AG131" s="39">
        <v>-61375</v>
      </c>
      <c r="AH131" s="31"/>
      <c r="AI131" s="40">
        <f t="shared" si="3"/>
        <v>-61375</v>
      </c>
    </row>
    <row r="132" spans="1:35" s="2" customFormat="1" ht="23.25" customHeight="1">
      <c r="A132" s="7" t="s">
        <v>141</v>
      </c>
      <c r="B132" s="14" t="s">
        <v>142</v>
      </c>
      <c r="C132" s="29" t="s">
        <v>38</v>
      </c>
      <c r="D132" s="15" t="s">
        <v>413</v>
      </c>
      <c r="E132" s="12"/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/>
      <c r="L132" s="31">
        <v>119576</v>
      </c>
      <c r="M132" s="31">
        <v>147770</v>
      </c>
      <c r="N132" s="31">
        <v>122096</v>
      </c>
      <c r="O132" s="31"/>
      <c r="P132" s="31">
        <v>65299</v>
      </c>
      <c r="Q132" s="31"/>
      <c r="R132" s="31">
        <v>110896</v>
      </c>
      <c r="S132" s="31">
        <v>502759</v>
      </c>
      <c r="T132" s="31">
        <v>85523.802958155939</v>
      </c>
      <c r="U132" s="31"/>
      <c r="V132" s="31">
        <v>356435</v>
      </c>
      <c r="W132" s="31"/>
      <c r="X132" s="31">
        <v>17554</v>
      </c>
      <c r="Y132" s="31"/>
      <c r="Z132" s="31">
        <v>0</v>
      </c>
      <c r="AA132" s="31"/>
      <c r="AB132" s="38"/>
      <c r="AC132" s="31"/>
      <c r="AD132" s="31"/>
      <c r="AE132" s="31"/>
      <c r="AF132" s="31"/>
      <c r="AG132" s="31">
        <v>-470903</v>
      </c>
      <c r="AH132" s="31"/>
      <c r="AI132" s="41">
        <f t="shared" si="3"/>
        <v>-470903</v>
      </c>
    </row>
    <row r="133" spans="1:35" s="2" customFormat="1" ht="23.25" customHeight="1">
      <c r="A133" s="6" t="s">
        <v>193</v>
      </c>
      <c r="B133" s="11" t="s">
        <v>194</v>
      </c>
      <c r="C133" s="28" t="s">
        <v>195</v>
      </c>
      <c r="D133" s="11" t="s">
        <v>413</v>
      </c>
      <c r="E133" s="12"/>
      <c r="F133" s="30">
        <v>-198933.38075782266</v>
      </c>
      <c r="G133" s="31">
        <v>-33830.840817224642</v>
      </c>
      <c r="H133" s="31">
        <v>1564.4600594019939</v>
      </c>
      <c r="I133" s="31">
        <v>-166667</v>
      </c>
      <c r="J133" s="31">
        <v>0</v>
      </c>
      <c r="K133" s="32"/>
      <c r="L133" s="33">
        <v>59788</v>
      </c>
      <c r="M133" s="31">
        <v>88662</v>
      </c>
      <c r="N133" s="31" t="s">
        <v>387</v>
      </c>
      <c r="O133" s="31"/>
      <c r="P133" s="34">
        <v>408115</v>
      </c>
      <c r="Q133" s="31"/>
      <c r="R133" s="35">
        <v>489569</v>
      </c>
      <c r="S133" s="31">
        <v>2382843</v>
      </c>
      <c r="T133" s="31">
        <v>468272.81640465755</v>
      </c>
      <c r="U133" s="31"/>
      <c r="V133" s="36">
        <v>1671152</v>
      </c>
      <c r="W133" s="31"/>
      <c r="X133" s="37">
        <v>30116</v>
      </c>
      <c r="Y133" s="31"/>
      <c r="Z133" s="37">
        <v>195072</v>
      </c>
      <c r="AA133" s="31"/>
      <c r="AB133" s="38"/>
      <c r="AC133" s="31"/>
      <c r="AD133" s="39"/>
      <c r="AE133" s="39"/>
      <c r="AF133" s="39"/>
      <c r="AG133" s="39">
        <v>-2105275</v>
      </c>
      <c r="AH133" s="31"/>
      <c r="AI133" s="40">
        <f t="shared" si="3"/>
        <v>-2105275</v>
      </c>
    </row>
    <row r="134" spans="1:35" s="2" customFormat="1" ht="23.25" customHeight="1">
      <c r="A134" s="7" t="s">
        <v>292</v>
      </c>
      <c r="B134" s="14" t="s">
        <v>293</v>
      </c>
      <c r="C134" s="29" t="s">
        <v>28</v>
      </c>
      <c r="D134" s="15" t="s">
        <v>413</v>
      </c>
      <c r="E134" s="12"/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/>
      <c r="L134" s="31">
        <v>0</v>
      </c>
      <c r="M134" s="31" t="s">
        <v>387</v>
      </c>
      <c r="N134" s="31" t="s">
        <v>387</v>
      </c>
      <c r="O134" s="31"/>
      <c r="P134" s="31">
        <v>0</v>
      </c>
      <c r="Q134" s="31"/>
      <c r="R134" s="31">
        <v>519</v>
      </c>
      <c r="S134" s="31">
        <v>8772</v>
      </c>
      <c r="T134" s="31">
        <v>0</v>
      </c>
      <c r="U134" s="31"/>
      <c r="V134" s="31">
        <v>0</v>
      </c>
      <c r="W134" s="31"/>
      <c r="X134" s="31">
        <v>0</v>
      </c>
      <c r="Y134" s="31"/>
      <c r="Z134" s="31">
        <v>0</v>
      </c>
      <c r="AA134" s="31"/>
      <c r="AB134" s="38"/>
      <c r="AC134" s="31"/>
      <c r="AD134" s="31"/>
      <c r="AE134" s="31"/>
      <c r="AF134" s="31"/>
      <c r="AG134" s="31">
        <v>-13544</v>
      </c>
      <c r="AH134" s="31"/>
      <c r="AI134" s="41">
        <f t="shared" si="3"/>
        <v>-13544</v>
      </c>
    </row>
    <row r="135" spans="1:35" s="2" customFormat="1" ht="23.25" customHeight="1">
      <c r="A135" s="6" t="s">
        <v>68</v>
      </c>
      <c r="B135" s="11" t="s">
        <v>69</v>
      </c>
      <c r="C135" s="28" t="s">
        <v>5</v>
      </c>
      <c r="D135" s="11" t="s">
        <v>414</v>
      </c>
      <c r="E135" s="12"/>
      <c r="F135" s="30">
        <v>0</v>
      </c>
      <c r="G135" s="31">
        <v>0</v>
      </c>
      <c r="H135" s="31">
        <v>0</v>
      </c>
      <c r="I135" s="31">
        <v>0</v>
      </c>
      <c r="J135" s="31">
        <v>0</v>
      </c>
      <c r="K135" s="32"/>
      <c r="L135" s="33">
        <v>29894</v>
      </c>
      <c r="M135" s="31">
        <v>29554</v>
      </c>
      <c r="N135" s="31">
        <v>30524</v>
      </c>
      <c r="O135" s="31"/>
      <c r="P135" s="34">
        <v>7371</v>
      </c>
      <c r="Q135" s="31"/>
      <c r="R135" s="35">
        <v>21443</v>
      </c>
      <c r="S135" s="31">
        <v>91995</v>
      </c>
      <c r="T135" s="31">
        <v>14315.335031830647</v>
      </c>
      <c r="U135" s="31"/>
      <c r="V135" s="36">
        <v>56790</v>
      </c>
      <c r="W135" s="31"/>
      <c r="X135" s="37">
        <v>-240</v>
      </c>
      <c r="Y135" s="31"/>
      <c r="Z135" s="37">
        <v>0</v>
      </c>
      <c r="AA135" s="31"/>
      <c r="AB135" s="38"/>
      <c r="AC135" s="31"/>
      <c r="AD135" s="39"/>
      <c r="AE135" s="39"/>
      <c r="AF135" s="39"/>
      <c r="AG135" s="39">
        <v>-67527</v>
      </c>
      <c r="AH135" s="31"/>
      <c r="AI135" s="40">
        <f t="shared" si="3"/>
        <v>-67527</v>
      </c>
    </row>
    <row r="136" spans="1:35" s="2" customFormat="1" ht="23.25" customHeight="1">
      <c r="A136" s="7" t="s">
        <v>103</v>
      </c>
      <c r="B136" s="14" t="s">
        <v>104</v>
      </c>
      <c r="C136" s="29" t="s">
        <v>8</v>
      </c>
      <c r="D136" s="15" t="s">
        <v>414</v>
      </c>
      <c r="E136" s="12"/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/>
      <c r="L136" s="31">
        <v>0</v>
      </c>
      <c r="M136" s="31">
        <v>59108</v>
      </c>
      <c r="N136" s="31" t="s">
        <v>387</v>
      </c>
      <c r="O136" s="31"/>
      <c r="P136" s="31">
        <v>20246</v>
      </c>
      <c r="Q136" s="31"/>
      <c r="R136" s="31">
        <v>67807</v>
      </c>
      <c r="S136" s="31">
        <v>404683</v>
      </c>
      <c r="T136" s="31">
        <v>90389.886250674317</v>
      </c>
      <c r="U136" s="31"/>
      <c r="V136" s="31">
        <v>459253</v>
      </c>
      <c r="W136" s="31"/>
      <c r="X136" s="31">
        <v>-21312</v>
      </c>
      <c r="Y136" s="31"/>
      <c r="Z136" s="31">
        <v>0</v>
      </c>
      <c r="AA136" s="31"/>
      <c r="AB136" s="38"/>
      <c r="AC136" s="31"/>
      <c r="AD136" s="31"/>
      <c r="AE136" s="31"/>
      <c r="AF136" s="31"/>
      <c r="AG136" s="31">
        <v>-240585</v>
      </c>
      <c r="AH136" s="31"/>
      <c r="AI136" s="41">
        <f t="shared" si="3"/>
        <v>-240585</v>
      </c>
    </row>
    <row r="137" spans="1:35" s="2" customFormat="1" ht="23.25" customHeight="1">
      <c r="A137" s="6" t="s">
        <v>114</v>
      </c>
      <c r="B137" s="11" t="s">
        <v>115</v>
      </c>
      <c r="C137" s="28" t="s">
        <v>48</v>
      </c>
      <c r="D137" s="11" t="s">
        <v>414</v>
      </c>
      <c r="E137" s="12"/>
      <c r="F137" s="30">
        <v>0</v>
      </c>
      <c r="G137" s="31">
        <v>0</v>
      </c>
      <c r="H137" s="31">
        <v>0</v>
      </c>
      <c r="I137" s="31">
        <v>0</v>
      </c>
      <c r="J137" s="31">
        <v>0</v>
      </c>
      <c r="K137" s="32"/>
      <c r="L137" s="33">
        <v>29894</v>
      </c>
      <c r="M137" s="31">
        <v>59108</v>
      </c>
      <c r="N137" s="31">
        <v>30524</v>
      </c>
      <c r="O137" s="31"/>
      <c r="P137" s="34">
        <v>6749</v>
      </c>
      <c r="Q137" s="31"/>
      <c r="R137" s="35">
        <v>42651</v>
      </c>
      <c r="S137" s="31">
        <v>280805</v>
      </c>
      <c r="T137" s="31">
        <v>61737.976967853239</v>
      </c>
      <c r="U137" s="31"/>
      <c r="V137" s="36">
        <v>186351</v>
      </c>
      <c r="W137" s="31"/>
      <c r="X137" s="37">
        <v>6219</v>
      </c>
      <c r="Y137" s="31"/>
      <c r="Z137" s="37">
        <v>0</v>
      </c>
      <c r="AA137" s="31"/>
      <c r="AB137" s="38"/>
      <c r="AC137" s="31"/>
      <c r="AD137" s="39"/>
      <c r="AE137" s="39"/>
      <c r="AF137" s="39"/>
      <c r="AG137" s="39">
        <v>-155261</v>
      </c>
      <c r="AH137" s="31"/>
      <c r="AI137" s="40">
        <f t="shared" si="3"/>
        <v>-155261</v>
      </c>
    </row>
    <row r="138" spans="1:35" s="2" customFormat="1" ht="23.25" customHeight="1">
      <c r="A138" s="7" t="s">
        <v>198</v>
      </c>
      <c r="B138" s="14" t="s">
        <v>199</v>
      </c>
      <c r="C138" s="29" t="s">
        <v>38</v>
      </c>
      <c r="D138" s="15" t="s">
        <v>414</v>
      </c>
      <c r="E138" s="12"/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/>
      <c r="L138" s="31">
        <v>328834</v>
      </c>
      <c r="M138" s="31">
        <v>354648</v>
      </c>
      <c r="N138" s="31">
        <v>335764</v>
      </c>
      <c r="O138" s="31"/>
      <c r="P138" s="31">
        <v>40374</v>
      </c>
      <c r="Q138" s="31"/>
      <c r="R138" s="31">
        <v>111730</v>
      </c>
      <c r="S138" s="31">
        <v>572881</v>
      </c>
      <c r="T138" s="31">
        <v>104375.25457719561</v>
      </c>
      <c r="U138" s="31"/>
      <c r="V138" s="31">
        <v>60042</v>
      </c>
      <c r="W138" s="31"/>
      <c r="X138" s="31">
        <v>123957</v>
      </c>
      <c r="Y138" s="31"/>
      <c r="Z138" s="31">
        <v>0</v>
      </c>
      <c r="AA138" s="31"/>
      <c r="AB138" s="38"/>
      <c r="AC138" s="31"/>
      <c r="AD138" s="31"/>
      <c r="AE138" s="31"/>
      <c r="AF138" s="31"/>
      <c r="AG138" s="31">
        <v>-582444</v>
      </c>
      <c r="AH138" s="31"/>
      <c r="AI138" s="41">
        <f t="shared" si="3"/>
        <v>-582444</v>
      </c>
    </row>
    <row r="139" spans="1:35" s="2" customFormat="1" ht="23.25" customHeight="1">
      <c r="A139" s="6" t="s">
        <v>200</v>
      </c>
      <c r="B139" s="11" t="s">
        <v>201</v>
      </c>
      <c r="C139" s="28" t="s">
        <v>5</v>
      </c>
      <c r="D139" s="11" t="s">
        <v>414</v>
      </c>
      <c r="E139" s="12"/>
      <c r="F139" s="30">
        <v>-43392.107799999998</v>
      </c>
      <c r="G139" s="31">
        <v>0</v>
      </c>
      <c r="H139" s="31">
        <v>-43392.107799999998</v>
      </c>
      <c r="I139" s="31">
        <v>0</v>
      </c>
      <c r="J139" s="31">
        <v>0</v>
      </c>
      <c r="K139" s="32"/>
      <c r="L139" s="33">
        <v>89682</v>
      </c>
      <c r="M139" s="31">
        <v>118216</v>
      </c>
      <c r="N139" s="31">
        <v>91572</v>
      </c>
      <c r="O139" s="31"/>
      <c r="P139" s="34">
        <v>105555</v>
      </c>
      <c r="Q139" s="31"/>
      <c r="R139" s="35">
        <v>233428</v>
      </c>
      <c r="S139" s="31">
        <v>1077936</v>
      </c>
      <c r="T139" s="31">
        <v>236215.09615258506</v>
      </c>
      <c r="U139" s="31"/>
      <c r="V139" s="36">
        <v>412290</v>
      </c>
      <c r="W139" s="31"/>
      <c r="X139" s="37">
        <v>256966</v>
      </c>
      <c r="Y139" s="31"/>
      <c r="Z139" s="37">
        <v>264192</v>
      </c>
      <c r="AA139" s="31"/>
      <c r="AB139" s="38"/>
      <c r="AC139" s="31"/>
      <c r="AD139" s="39"/>
      <c r="AE139" s="39"/>
      <c r="AF139" s="39"/>
      <c r="AG139" s="39">
        <v>-847479</v>
      </c>
      <c r="AH139" s="31"/>
      <c r="AI139" s="40">
        <f t="shared" si="3"/>
        <v>-847479</v>
      </c>
    </row>
    <row r="140" spans="1:35" s="2" customFormat="1" ht="23.25" customHeight="1">
      <c r="A140" s="7" t="s">
        <v>202</v>
      </c>
      <c r="B140" s="14" t="s">
        <v>203</v>
      </c>
      <c r="C140" s="29" t="s">
        <v>8</v>
      </c>
      <c r="D140" s="15" t="s">
        <v>414</v>
      </c>
      <c r="E140" s="12"/>
      <c r="F140" s="31">
        <v>-155984.13813544059</v>
      </c>
      <c r="G140" s="31">
        <v>-33748.778629910586</v>
      </c>
      <c r="H140" s="31">
        <v>104431.64049447</v>
      </c>
      <c r="I140" s="31">
        <v>-226667</v>
      </c>
      <c r="J140" s="31">
        <v>0</v>
      </c>
      <c r="K140" s="31"/>
      <c r="L140" s="31">
        <v>89682</v>
      </c>
      <c r="M140" s="31">
        <v>206878</v>
      </c>
      <c r="N140" s="31" t="s">
        <v>387</v>
      </c>
      <c r="O140" s="31"/>
      <c r="P140" s="31">
        <v>214274</v>
      </c>
      <c r="Q140" s="31"/>
      <c r="R140" s="31">
        <v>459768</v>
      </c>
      <c r="S140" s="31">
        <v>2128244</v>
      </c>
      <c r="T140" s="31">
        <v>423714.47736904299</v>
      </c>
      <c r="U140" s="31"/>
      <c r="V140" s="31">
        <v>1499260</v>
      </c>
      <c r="W140" s="31"/>
      <c r="X140" s="31">
        <v>-8968</v>
      </c>
      <c r="Y140" s="31"/>
      <c r="Z140" s="31">
        <v>0</v>
      </c>
      <c r="AA140" s="31"/>
      <c r="AB140" s="38"/>
      <c r="AC140" s="31"/>
      <c r="AD140" s="31"/>
      <c r="AE140" s="31"/>
      <c r="AF140" s="31"/>
      <c r="AG140" s="31">
        <v>-1633252</v>
      </c>
      <c r="AH140" s="31"/>
      <c r="AI140" s="41">
        <f t="shared" si="3"/>
        <v>-1633252</v>
      </c>
    </row>
    <row r="141" spans="1:35" s="2" customFormat="1" ht="23.25" customHeight="1">
      <c r="A141" s="6" t="s">
        <v>294</v>
      </c>
      <c r="B141" s="11" t="s">
        <v>295</v>
      </c>
      <c r="C141" s="28" t="s">
        <v>28</v>
      </c>
      <c r="D141" s="11" t="s">
        <v>414</v>
      </c>
      <c r="E141" s="12"/>
      <c r="F141" s="30">
        <v>0</v>
      </c>
      <c r="G141" s="31">
        <v>0</v>
      </c>
      <c r="H141" s="31">
        <v>0</v>
      </c>
      <c r="I141" s="31">
        <v>0</v>
      </c>
      <c r="J141" s="31">
        <v>0</v>
      </c>
      <c r="K141" s="32"/>
      <c r="L141" s="33">
        <v>0</v>
      </c>
      <c r="M141" s="31" t="s">
        <v>387</v>
      </c>
      <c r="N141" s="31">
        <v>0</v>
      </c>
      <c r="O141" s="31"/>
      <c r="P141" s="34">
        <v>0</v>
      </c>
      <c r="Q141" s="31"/>
      <c r="R141" s="35">
        <v>1007</v>
      </c>
      <c r="S141" s="31">
        <v>17031</v>
      </c>
      <c r="T141" s="31">
        <v>0</v>
      </c>
      <c r="U141" s="31"/>
      <c r="V141" s="36">
        <v>0</v>
      </c>
      <c r="W141" s="31"/>
      <c r="X141" s="37">
        <v>35201</v>
      </c>
      <c r="Y141" s="31"/>
      <c r="Z141" s="37">
        <v>0</v>
      </c>
      <c r="AA141" s="31"/>
      <c r="AB141" s="38"/>
      <c r="AC141" s="31"/>
      <c r="AD141" s="39"/>
      <c r="AE141" s="39"/>
      <c r="AF141" s="39"/>
      <c r="AG141" s="39">
        <v>-132169</v>
      </c>
      <c r="AH141" s="31"/>
      <c r="AI141" s="40">
        <f t="shared" si="3"/>
        <v>-132169</v>
      </c>
    </row>
    <row r="142" spans="1:35" s="2" customFormat="1" ht="23.25" customHeight="1">
      <c r="A142" s="7" t="s">
        <v>296</v>
      </c>
      <c r="B142" s="14" t="s">
        <v>297</v>
      </c>
      <c r="C142" s="29" t="s">
        <v>28</v>
      </c>
      <c r="D142" s="15" t="s">
        <v>414</v>
      </c>
      <c r="E142" s="12"/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1"/>
      <c r="L142" s="31">
        <v>0</v>
      </c>
      <c r="M142" s="31" t="s">
        <v>387</v>
      </c>
      <c r="N142" s="31">
        <v>0</v>
      </c>
      <c r="O142" s="31"/>
      <c r="P142" s="31">
        <v>0</v>
      </c>
      <c r="Q142" s="31"/>
      <c r="R142" s="31">
        <v>469</v>
      </c>
      <c r="S142" s="31">
        <v>7923</v>
      </c>
      <c r="T142" s="31">
        <v>0</v>
      </c>
      <c r="U142" s="31"/>
      <c r="V142" s="31">
        <v>0</v>
      </c>
      <c r="W142" s="31"/>
      <c r="X142" s="31">
        <v>0</v>
      </c>
      <c r="Y142" s="31"/>
      <c r="Z142" s="31">
        <v>0</v>
      </c>
      <c r="AA142" s="31"/>
      <c r="AB142" s="38"/>
      <c r="AC142" s="31"/>
      <c r="AD142" s="31"/>
      <c r="AE142" s="31"/>
      <c r="AF142" s="31"/>
      <c r="AG142" s="31">
        <v>-8422</v>
      </c>
      <c r="AH142" s="31"/>
      <c r="AI142" s="41">
        <f t="shared" si="3"/>
        <v>-8422</v>
      </c>
    </row>
    <row r="143" spans="1:35" s="2" customFormat="1" ht="23.25" customHeight="1">
      <c r="A143" s="6" t="s">
        <v>298</v>
      </c>
      <c r="B143" s="11" t="s">
        <v>299</v>
      </c>
      <c r="C143" s="28" t="s">
        <v>28</v>
      </c>
      <c r="D143" s="11" t="s">
        <v>414</v>
      </c>
      <c r="E143" s="12"/>
      <c r="F143" s="30">
        <v>0</v>
      </c>
      <c r="G143" s="31">
        <v>0</v>
      </c>
      <c r="H143" s="31">
        <v>0</v>
      </c>
      <c r="I143" s="31">
        <v>0</v>
      </c>
      <c r="J143" s="31">
        <v>0</v>
      </c>
      <c r="K143" s="32"/>
      <c r="L143" s="33"/>
      <c r="M143" s="31" t="s">
        <v>387</v>
      </c>
      <c r="N143" s="31">
        <v>0</v>
      </c>
      <c r="O143" s="31"/>
      <c r="P143" s="34" t="s">
        <v>387</v>
      </c>
      <c r="Q143" s="31"/>
      <c r="R143" s="35" t="s">
        <v>387</v>
      </c>
      <c r="S143" s="31">
        <v>0</v>
      </c>
      <c r="T143" s="31">
        <v>0</v>
      </c>
      <c r="U143" s="31"/>
      <c r="V143" s="36" t="s">
        <v>387</v>
      </c>
      <c r="W143" s="31"/>
      <c r="X143" s="37">
        <v>0</v>
      </c>
      <c r="Y143" s="31"/>
      <c r="Z143" s="37">
        <v>0</v>
      </c>
      <c r="AA143" s="31"/>
      <c r="AB143" s="38"/>
      <c r="AC143" s="31"/>
      <c r="AD143" s="39"/>
      <c r="AE143" s="39"/>
      <c r="AF143" s="39"/>
      <c r="AG143" s="39">
        <v>-4572</v>
      </c>
      <c r="AH143" s="31"/>
      <c r="AI143" s="40">
        <f t="shared" si="3"/>
        <v>-4572</v>
      </c>
    </row>
    <row r="144" spans="1:35" s="2" customFormat="1" ht="23.25" customHeight="1">
      <c r="A144" s="7" t="s">
        <v>300</v>
      </c>
      <c r="B144" s="14" t="s">
        <v>301</v>
      </c>
      <c r="C144" s="29" t="s">
        <v>28</v>
      </c>
      <c r="D144" s="15" t="s">
        <v>415</v>
      </c>
      <c r="E144" s="12"/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/>
      <c r="L144" s="31"/>
      <c r="M144" s="31" t="s">
        <v>387</v>
      </c>
      <c r="N144" s="31" t="s">
        <v>387</v>
      </c>
      <c r="O144" s="31"/>
      <c r="P144" s="31">
        <v>0</v>
      </c>
      <c r="Q144" s="31"/>
      <c r="R144" s="31">
        <v>5247</v>
      </c>
      <c r="S144" s="31">
        <v>32869</v>
      </c>
      <c r="T144" s="31">
        <v>788.27757417701935</v>
      </c>
      <c r="U144" s="31"/>
      <c r="V144" s="31">
        <v>0</v>
      </c>
      <c r="W144" s="31"/>
      <c r="X144" s="31">
        <v>0</v>
      </c>
      <c r="Y144" s="31"/>
      <c r="Z144" s="31">
        <v>0</v>
      </c>
      <c r="AA144" s="31"/>
      <c r="AB144" s="38"/>
      <c r="AC144" s="31"/>
      <c r="AD144" s="31"/>
      <c r="AE144" s="31"/>
      <c r="AF144" s="31"/>
      <c r="AG144" s="31">
        <v>-10712</v>
      </c>
      <c r="AH144" s="31"/>
      <c r="AI144" s="41">
        <f t="shared" si="3"/>
        <v>-10712</v>
      </c>
    </row>
    <row r="145" spans="1:35" s="2" customFormat="1" ht="23.25" customHeight="1">
      <c r="A145" s="6" t="s">
        <v>302</v>
      </c>
      <c r="B145" s="11" t="s">
        <v>303</v>
      </c>
      <c r="C145" s="28" t="s">
        <v>28</v>
      </c>
      <c r="D145" s="11" t="s">
        <v>415</v>
      </c>
      <c r="E145" s="12"/>
      <c r="F145" s="30">
        <v>0</v>
      </c>
      <c r="G145" s="31">
        <v>0</v>
      </c>
      <c r="H145" s="31">
        <v>0</v>
      </c>
      <c r="I145" s="31">
        <v>0</v>
      </c>
      <c r="J145" s="31">
        <v>0</v>
      </c>
      <c r="K145" s="32"/>
      <c r="L145" s="33"/>
      <c r="M145" s="31" t="s">
        <v>387</v>
      </c>
      <c r="N145" s="31" t="s">
        <v>387</v>
      </c>
      <c r="O145" s="31"/>
      <c r="P145" s="34">
        <v>0</v>
      </c>
      <c r="Q145" s="31"/>
      <c r="R145" s="35">
        <v>3445</v>
      </c>
      <c r="S145" s="31">
        <v>18101</v>
      </c>
      <c r="T145" s="31">
        <v>1576</v>
      </c>
      <c r="U145" s="31"/>
      <c r="V145" s="36">
        <v>0</v>
      </c>
      <c r="W145" s="31"/>
      <c r="X145" s="37">
        <v>0</v>
      </c>
      <c r="Y145" s="31"/>
      <c r="Z145" s="37">
        <v>0</v>
      </c>
      <c r="AA145" s="31"/>
      <c r="AB145" s="38"/>
      <c r="AC145" s="31"/>
      <c r="AD145" s="39"/>
      <c r="AE145" s="39"/>
      <c r="AF145" s="39"/>
      <c r="AG145" s="39">
        <v>-13191</v>
      </c>
      <c r="AH145" s="31"/>
      <c r="AI145" s="40">
        <f t="shared" si="3"/>
        <v>-13191</v>
      </c>
    </row>
    <row r="146" spans="1:35" s="2" customFormat="1" ht="23.25" customHeight="1">
      <c r="A146" s="7" t="s">
        <v>304</v>
      </c>
      <c r="B146" s="14" t="s">
        <v>305</v>
      </c>
      <c r="C146" s="29" t="s">
        <v>28</v>
      </c>
      <c r="D146" s="15" t="s">
        <v>415</v>
      </c>
      <c r="E146" s="12"/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1"/>
      <c r="L146" s="31"/>
      <c r="M146" s="31" t="s">
        <v>387</v>
      </c>
      <c r="N146" s="31" t="s">
        <v>387</v>
      </c>
      <c r="O146" s="31"/>
      <c r="P146" s="31">
        <v>0</v>
      </c>
      <c r="Q146" s="31"/>
      <c r="R146" s="31">
        <v>4268</v>
      </c>
      <c r="S146" s="31">
        <v>25935</v>
      </c>
      <c r="T146" s="31">
        <v>394.13878708850967</v>
      </c>
      <c r="U146" s="31"/>
      <c r="V146" s="31">
        <v>0</v>
      </c>
      <c r="W146" s="31"/>
      <c r="X146" s="31">
        <v>0</v>
      </c>
      <c r="Y146" s="31"/>
      <c r="Z146" s="31">
        <v>0</v>
      </c>
      <c r="AA146" s="31"/>
      <c r="AB146" s="38"/>
      <c r="AC146" s="31"/>
      <c r="AD146" s="31"/>
      <c r="AE146" s="31"/>
      <c r="AF146" s="31"/>
      <c r="AG146" s="31">
        <v>-13795</v>
      </c>
      <c r="AH146" s="31"/>
      <c r="AI146" s="41">
        <f t="shared" si="3"/>
        <v>-13795</v>
      </c>
    </row>
    <row r="147" spans="1:35" s="2" customFormat="1" ht="23.25" customHeight="1">
      <c r="A147" s="6" t="s">
        <v>306</v>
      </c>
      <c r="B147" s="11" t="s">
        <v>307</v>
      </c>
      <c r="C147" s="28" t="s">
        <v>28</v>
      </c>
      <c r="D147" s="11" t="s">
        <v>415</v>
      </c>
      <c r="E147" s="12"/>
      <c r="F147" s="30">
        <v>0</v>
      </c>
      <c r="G147" s="31">
        <v>0</v>
      </c>
      <c r="H147" s="31">
        <v>0</v>
      </c>
      <c r="I147" s="31">
        <v>0</v>
      </c>
      <c r="J147" s="31">
        <v>0</v>
      </c>
      <c r="K147" s="32"/>
      <c r="L147" s="33"/>
      <c r="M147" s="31" t="s">
        <v>387</v>
      </c>
      <c r="N147" s="31" t="s">
        <v>387</v>
      </c>
      <c r="O147" s="31"/>
      <c r="P147" s="34">
        <v>0</v>
      </c>
      <c r="Q147" s="31"/>
      <c r="R147" s="35">
        <v>14752</v>
      </c>
      <c r="S147" s="31">
        <v>46505</v>
      </c>
      <c r="T147" s="31">
        <v>2905.3595176180188</v>
      </c>
      <c r="U147" s="31"/>
      <c r="V147" s="36">
        <v>0</v>
      </c>
      <c r="W147" s="31"/>
      <c r="X147" s="37">
        <v>0</v>
      </c>
      <c r="Y147" s="31"/>
      <c r="Z147" s="37">
        <v>0</v>
      </c>
      <c r="AA147" s="31"/>
      <c r="AB147" s="38"/>
      <c r="AC147" s="31"/>
      <c r="AD147" s="39"/>
      <c r="AE147" s="39"/>
      <c r="AF147" s="39"/>
      <c r="AG147" s="39">
        <v>-6428</v>
      </c>
      <c r="AH147" s="31"/>
      <c r="AI147" s="40">
        <f t="shared" si="3"/>
        <v>-6428</v>
      </c>
    </row>
    <row r="148" spans="1:35" s="2" customFormat="1" ht="23.25" customHeight="1">
      <c r="A148" s="7" t="s">
        <v>308</v>
      </c>
      <c r="B148" s="14" t="s">
        <v>309</v>
      </c>
      <c r="C148" s="29" t="s">
        <v>28</v>
      </c>
      <c r="D148" s="15" t="s">
        <v>415</v>
      </c>
      <c r="E148" s="12"/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1"/>
      <c r="L148" s="31"/>
      <c r="M148" s="31" t="s">
        <v>387</v>
      </c>
      <c r="N148" s="31" t="s">
        <v>387</v>
      </c>
      <c r="O148" s="31"/>
      <c r="P148" s="31">
        <v>0</v>
      </c>
      <c r="Q148" s="31"/>
      <c r="R148" s="31">
        <v>3475</v>
      </c>
      <c r="S148" s="31">
        <v>23499</v>
      </c>
      <c r="T148" s="31">
        <v>745.06982940972591</v>
      </c>
      <c r="U148" s="31"/>
      <c r="V148" s="31">
        <v>0</v>
      </c>
      <c r="W148" s="31"/>
      <c r="X148" s="31">
        <v>0</v>
      </c>
      <c r="Y148" s="31"/>
      <c r="Z148" s="31">
        <v>0</v>
      </c>
      <c r="AA148" s="31"/>
      <c r="AB148" s="38"/>
      <c r="AC148" s="31"/>
      <c r="AD148" s="31"/>
      <c r="AE148" s="31"/>
      <c r="AF148" s="31"/>
      <c r="AG148" s="31">
        <v>-10441</v>
      </c>
      <c r="AH148" s="31"/>
      <c r="AI148" s="41">
        <f t="shared" si="3"/>
        <v>-10441</v>
      </c>
    </row>
    <row r="149" spans="1:35" s="2" customFormat="1" ht="23.25" customHeight="1">
      <c r="A149" s="6" t="s">
        <v>310</v>
      </c>
      <c r="B149" s="11" t="s">
        <v>311</v>
      </c>
      <c r="C149" s="28" t="s">
        <v>28</v>
      </c>
      <c r="D149" s="11" t="s">
        <v>416</v>
      </c>
      <c r="E149" s="12"/>
      <c r="F149" s="30">
        <v>0</v>
      </c>
      <c r="G149" s="31">
        <v>0</v>
      </c>
      <c r="H149" s="31">
        <v>0</v>
      </c>
      <c r="I149" s="31">
        <v>0</v>
      </c>
      <c r="J149" s="31">
        <v>0</v>
      </c>
      <c r="K149" s="32"/>
      <c r="L149" s="33"/>
      <c r="M149" s="31" t="s">
        <v>387</v>
      </c>
      <c r="N149" s="31">
        <v>0</v>
      </c>
      <c r="O149" s="31"/>
      <c r="P149" s="34" t="s">
        <v>387</v>
      </c>
      <c r="Q149" s="31"/>
      <c r="R149" s="35" t="s">
        <v>387</v>
      </c>
      <c r="S149" s="31">
        <v>64</v>
      </c>
      <c r="T149" s="31">
        <v>0</v>
      </c>
      <c r="U149" s="31"/>
      <c r="V149" s="36" t="s">
        <v>387</v>
      </c>
      <c r="W149" s="31"/>
      <c r="X149" s="37">
        <v>0</v>
      </c>
      <c r="Y149" s="31"/>
      <c r="Z149" s="37">
        <v>0</v>
      </c>
      <c r="AA149" s="31"/>
      <c r="AB149" s="38"/>
      <c r="AC149" s="31"/>
      <c r="AD149" s="39"/>
      <c r="AE149" s="39"/>
      <c r="AF149" s="39"/>
      <c r="AG149" s="39">
        <v>-6211</v>
      </c>
      <c r="AH149" s="31"/>
      <c r="AI149" s="40">
        <f t="shared" si="3"/>
        <v>-6211</v>
      </c>
    </row>
    <row r="150" spans="1:35" s="2" customFormat="1" ht="23.25" customHeight="1">
      <c r="A150" s="7" t="s">
        <v>312</v>
      </c>
      <c r="B150" s="14" t="s">
        <v>313</v>
      </c>
      <c r="C150" s="29" t="s">
        <v>28</v>
      </c>
      <c r="D150" s="15" t="s">
        <v>417</v>
      </c>
      <c r="E150" s="12"/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/>
      <c r="L150" s="31"/>
      <c r="M150" s="31" t="s">
        <v>387</v>
      </c>
      <c r="N150" s="31" t="s">
        <v>387</v>
      </c>
      <c r="O150" s="31"/>
      <c r="P150" s="31">
        <v>0</v>
      </c>
      <c r="Q150" s="31"/>
      <c r="R150" s="31">
        <v>156</v>
      </c>
      <c r="S150" s="31">
        <v>2639</v>
      </c>
      <c r="T150" s="31">
        <v>0</v>
      </c>
      <c r="U150" s="31"/>
      <c r="V150" s="31">
        <v>0</v>
      </c>
      <c r="W150" s="31"/>
      <c r="X150" s="31">
        <v>0</v>
      </c>
      <c r="Y150" s="31"/>
      <c r="Z150" s="31">
        <v>0</v>
      </c>
      <c r="AA150" s="31"/>
      <c r="AB150" s="38"/>
      <c r="AC150" s="31"/>
      <c r="AD150" s="31"/>
      <c r="AE150" s="31"/>
      <c r="AF150" s="31"/>
      <c r="AG150" s="31">
        <v>-12384</v>
      </c>
      <c r="AH150" s="31"/>
      <c r="AI150" s="41">
        <f t="shared" si="3"/>
        <v>-12384</v>
      </c>
    </row>
    <row r="151" spans="1:35" s="2" customFormat="1" ht="23.25" customHeight="1">
      <c r="A151" s="6" t="s">
        <v>314</v>
      </c>
      <c r="B151" s="11" t="s">
        <v>315</v>
      </c>
      <c r="C151" s="28" t="s">
        <v>28</v>
      </c>
      <c r="D151" s="11" t="s">
        <v>417</v>
      </c>
      <c r="E151" s="12"/>
      <c r="F151" s="30">
        <v>0</v>
      </c>
      <c r="G151" s="31">
        <v>0</v>
      </c>
      <c r="H151" s="31">
        <v>0</v>
      </c>
      <c r="I151" s="31">
        <v>0</v>
      </c>
      <c r="J151" s="31">
        <v>0</v>
      </c>
      <c r="K151" s="32"/>
      <c r="L151" s="33"/>
      <c r="M151" s="31" t="s">
        <v>387</v>
      </c>
      <c r="N151" s="31" t="s">
        <v>387</v>
      </c>
      <c r="O151" s="31"/>
      <c r="P151" s="34" t="s">
        <v>387</v>
      </c>
      <c r="Q151" s="31"/>
      <c r="R151" s="35" t="s">
        <v>387</v>
      </c>
      <c r="S151" s="31">
        <v>0</v>
      </c>
      <c r="T151" s="31">
        <v>0</v>
      </c>
      <c r="U151" s="31"/>
      <c r="V151" s="36" t="s">
        <v>387</v>
      </c>
      <c r="W151" s="31"/>
      <c r="X151" s="37">
        <v>0</v>
      </c>
      <c r="Y151" s="31"/>
      <c r="Z151" s="37">
        <v>0</v>
      </c>
      <c r="AA151" s="31"/>
      <c r="AB151" s="38"/>
      <c r="AC151" s="31"/>
      <c r="AD151" s="39"/>
      <c r="AE151" s="39"/>
      <c r="AF151" s="39"/>
      <c r="AG151" s="39">
        <v>-23493</v>
      </c>
      <c r="AH151" s="31"/>
      <c r="AI151" s="40">
        <f t="shared" si="3"/>
        <v>-23493</v>
      </c>
    </row>
    <row r="152" spans="1:35" s="2" customFormat="1" ht="23.25" customHeight="1">
      <c r="A152" s="7" t="s">
        <v>44</v>
      </c>
      <c r="B152" s="14" t="s">
        <v>45</v>
      </c>
      <c r="C152" s="29" t="s">
        <v>11</v>
      </c>
      <c r="D152" s="15" t="s">
        <v>418</v>
      </c>
      <c r="E152" s="12"/>
      <c r="F152" s="31">
        <v>3049767.93</v>
      </c>
      <c r="G152" s="31">
        <v>0</v>
      </c>
      <c r="H152" s="31">
        <v>0</v>
      </c>
      <c r="I152" s="31">
        <v>0</v>
      </c>
      <c r="J152" s="31">
        <v>3049767.93</v>
      </c>
      <c r="K152" s="31"/>
      <c r="L152" s="31">
        <v>119576</v>
      </c>
      <c r="M152" s="31" t="s">
        <v>387</v>
      </c>
      <c r="N152" s="31" t="s">
        <v>387</v>
      </c>
      <c r="O152" s="31"/>
      <c r="P152" s="31">
        <v>47005</v>
      </c>
      <c r="Q152" s="31"/>
      <c r="R152" s="31">
        <v>105007</v>
      </c>
      <c r="S152" s="31">
        <v>727167</v>
      </c>
      <c r="T152" s="31">
        <v>195179.77113959903</v>
      </c>
      <c r="U152" s="31"/>
      <c r="V152" s="31">
        <v>359587</v>
      </c>
      <c r="W152" s="31"/>
      <c r="X152" s="31">
        <v>0</v>
      </c>
      <c r="Y152" s="31"/>
      <c r="Z152" s="31">
        <v>0</v>
      </c>
      <c r="AA152" s="31"/>
      <c r="AB152" s="38"/>
      <c r="AC152" s="31"/>
      <c r="AD152" s="31"/>
      <c r="AE152" s="31"/>
      <c r="AF152" s="31"/>
      <c r="AG152" s="31">
        <v>-96125</v>
      </c>
      <c r="AH152" s="31"/>
      <c r="AI152" s="41">
        <f t="shared" si="3"/>
        <v>-96125</v>
      </c>
    </row>
    <row r="153" spans="1:35" s="2" customFormat="1" ht="23.25" customHeight="1">
      <c r="A153" s="6" t="s">
        <v>46</v>
      </c>
      <c r="B153" s="11" t="s">
        <v>47</v>
      </c>
      <c r="C153" s="28" t="s">
        <v>48</v>
      </c>
      <c r="D153" s="11" t="s">
        <v>418</v>
      </c>
      <c r="E153" s="12"/>
      <c r="F153" s="30">
        <v>0</v>
      </c>
      <c r="G153" s="31">
        <v>0</v>
      </c>
      <c r="H153" s="31">
        <v>0</v>
      </c>
      <c r="I153" s="31">
        <v>0</v>
      </c>
      <c r="J153" s="31">
        <v>0</v>
      </c>
      <c r="K153" s="32"/>
      <c r="L153" s="33">
        <v>0</v>
      </c>
      <c r="M153" s="31" t="s">
        <v>387</v>
      </c>
      <c r="N153" s="31">
        <v>91572</v>
      </c>
      <c r="O153" s="31"/>
      <c r="P153" s="34">
        <v>10064</v>
      </c>
      <c r="Q153" s="31"/>
      <c r="R153" s="35">
        <v>21594</v>
      </c>
      <c r="S153" s="31">
        <v>171712</v>
      </c>
      <c r="T153" s="31">
        <v>55212.144048150694</v>
      </c>
      <c r="U153" s="31"/>
      <c r="V153" s="36">
        <v>5683</v>
      </c>
      <c r="W153" s="31"/>
      <c r="X153" s="37">
        <v>0</v>
      </c>
      <c r="Y153" s="31"/>
      <c r="Z153" s="37">
        <v>0</v>
      </c>
      <c r="AA153" s="31"/>
      <c r="AB153" s="38"/>
      <c r="AC153" s="31"/>
      <c r="AD153" s="39"/>
      <c r="AE153" s="39"/>
      <c r="AF153" s="39"/>
      <c r="AG153" s="39">
        <v>-199564</v>
      </c>
      <c r="AH153" s="31"/>
      <c r="AI153" s="40">
        <f t="shared" si="3"/>
        <v>-199564</v>
      </c>
    </row>
    <row r="154" spans="1:35" s="2" customFormat="1" ht="23.25" customHeight="1">
      <c r="A154" s="7" t="s">
        <v>66</v>
      </c>
      <c r="B154" s="14" t="s">
        <v>67</v>
      </c>
      <c r="C154" s="29" t="s">
        <v>48</v>
      </c>
      <c r="D154" s="15" t="s">
        <v>418</v>
      </c>
      <c r="E154" s="12"/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31"/>
      <c r="L154" s="31">
        <v>29894</v>
      </c>
      <c r="M154" s="31">
        <v>118216</v>
      </c>
      <c r="N154" s="31" t="s">
        <v>387</v>
      </c>
      <c r="O154" s="31"/>
      <c r="P154" s="31">
        <v>0</v>
      </c>
      <c r="Q154" s="31"/>
      <c r="R154" s="31">
        <v>77786</v>
      </c>
      <c r="S154" s="31">
        <v>337903</v>
      </c>
      <c r="T154" s="31">
        <v>34905.055957639051</v>
      </c>
      <c r="U154" s="31"/>
      <c r="V154" s="31">
        <v>0</v>
      </c>
      <c r="W154" s="31"/>
      <c r="X154" s="31">
        <v>0</v>
      </c>
      <c r="Y154" s="31"/>
      <c r="Z154" s="31">
        <v>0</v>
      </c>
      <c r="AA154" s="31"/>
      <c r="AB154" s="38"/>
      <c r="AC154" s="31"/>
      <c r="AD154" s="31"/>
      <c r="AE154" s="31"/>
      <c r="AF154" s="31"/>
      <c r="AG154" s="31">
        <v>-37161</v>
      </c>
      <c r="AH154" s="31"/>
      <c r="AI154" s="41">
        <f t="shared" si="3"/>
        <v>-37161</v>
      </c>
    </row>
    <row r="155" spans="1:35" s="2" customFormat="1" ht="23.25" customHeight="1">
      <c r="A155" s="6" t="s">
        <v>92</v>
      </c>
      <c r="B155" s="11" t="s">
        <v>93</v>
      </c>
      <c r="C155" s="28" t="s">
        <v>11</v>
      </c>
      <c r="D155" s="11" t="s">
        <v>418</v>
      </c>
      <c r="E155" s="12"/>
      <c r="F155" s="30">
        <v>43392.107799999998</v>
      </c>
      <c r="G155" s="31">
        <v>0</v>
      </c>
      <c r="H155" s="31">
        <v>43392.107799999998</v>
      </c>
      <c r="I155" s="31">
        <v>0</v>
      </c>
      <c r="J155" s="31">
        <v>0</v>
      </c>
      <c r="K155" s="32"/>
      <c r="L155" s="33">
        <v>29894</v>
      </c>
      <c r="M155" s="31">
        <v>118838</v>
      </c>
      <c r="N155" s="31" t="s">
        <v>387</v>
      </c>
      <c r="O155" s="31"/>
      <c r="P155" s="34">
        <v>0</v>
      </c>
      <c r="Q155" s="31"/>
      <c r="R155" s="35">
        <v>57069</v>
      </c>
      <c r="S155" s="31">
        <v>222943</v>
      </c>
      <c r="T155" s="31">
        <v>24111.290361267231</v>
      </c>
      <c r="U155" s="31"/>
      <c r="V155" s="36">
        <v>71966</v>
      </c>
      <c r="W155" s="31"/>
      <c r="X155" s="37">
        <v>0</v>
      </c>
      <c r="Y155" s="31"/>
      <c r="Z155" s="37">
        <v>0</v>
      </c>
      <c r="AA155" s="31"/>
      <c r="AB155" s="38"/>
      <c r="AC155" s="31"/>
      <c r="AD155" s="39"/>
      <c r="AE155" s="39"/>
      <c r="AF155" s="39"/>
      <c r="AG155" s="39">
        <v>-16657</v>
      </c>
      <c r="AH155" s="31"/>
      <c r="AI155" s="40">
        <f t="shared" si="3"/>
        <v>-16657</v>
      </c>
    </row>
    <row r="156" spans="1:35" s="2" customFormat="1" ht="23.25" customHeight="1">
      <c r="A156" s="7" t="s">
        <v>316</v>
      </c>
      <c r="B156" s="14" t="s">
        <v>317</v>
      </c>
      <c r="C156" s="29" t="s">
        <v>28</v>
      </c>
      <c r="D156" s="15" t="s">
        <v>418</v>
      </c>
      <c r="E156" s="12"/>
      <c r="F156" s="31">
        <v>0</v>
      </c>
      <c r="G156" s="31">
        <v>0</v>
      </c>
      <c r="H156" s="31">
        <v>0</v>
      </c>
      <c r="I156" s="31">
        <v>0</v>
      </c>
      <c r="J156" s="31">
        <v>0</v>
      </c>
      <c r="K156" s="31"/>
      <c r="L156" s="31">
        <v>0</v>
      </c>
      <c r="M156" s="31" t="s">
        <v>387</v>
      </c>
      <c r="N156" s="31" t="s">
        <v>387</v>
      </c>
      <c r="O156" s="31"/>
      <c r="P156" s="31">
        <v>0</v>
      </c>
      <c r="Q156" s="31"/>
      <c r="R156" s="31">
        <v>69</v>
      </c>
      <c r="S156" s="31">
        <v>1165</v>
      </c>
      <c r="T156" s="31">
        <v>0</v>
      </c>
      <c r="U156" s="31"/>
      <c r="V156" s="31">
        <v>0</v>
      </c>
      <c r="W156" s="31"/>
      <c r="X156" s="31">
        <v>0</v>
      </c>
      <c r="Y156" s="31"/>
      <c r="Z156" s="31">
        <v>0</v>
      </c>
      <c r="AA156" s="31"/>
      <c r="AB156" s="38"/>
      <c r="AC156" s="31"/>
      <c r="AD156" s="31"/>
      <c r="AE156" s="31"/>
      <c r="AF156" s="31"/>
      <c r="AG156" s="31">
        <v>-1113</v>
      </c>
      <c r="AH156" s="31"/>
      <c r="AI156" s="41">
        <f t="shared" si="3"/>
        <v>-1113</v>
      </c>
    </row>
    <row r="157" spans="1:35" s="2" customFormat="1" ht="23.25" customHeight="1">
      <c r="A157" s="6" t="s">
        <v>318</v>
      </c>
      <c r="B157" s="11" t="s">
        <v>319</v>
      </c>
      <c r="C157" s="28" t="s">
        <v>28</v>
      </c>
      <c r="D157" s="11" t="s">
        <v>418</v>
      </c>
      <c r="E157" s="12"/>
      <c r="F157" s="30">
        <v>0</v>
      </c>
      <c r="G157" s="31">
        <v>0</v>
      </c>
      <c r="H157" s="31">
        <v>0</v>
      </c>
      <c r="I157" s="31">
        <v>0</v>
      </c>
      <c r="J157" s="31">
        <v>0</v>
      </c>
      <c r="K157" s="32"/>
      <c r="L157" s="33">
        <v>0</v>
      </c>
      <c r="M157" s="31" t="s">
        <v>387</v>
      </c>
      <c r="N157" s="31" t="s">
        <v>387</v>
      </c>
      <c r="O157" s="31"/>
      <c r="P157" s="34">
        <v>0</v>
      </c>
      <c r="Q157" s="31"/>
      <c r="R157" s="35">
        <v>4338</v>
      </c>
      <c r="S157" s="31">
        <v>73324</v>
      </c>
      <c r="T157" s="31">
        <v>0</v>
      </c>
      <c r="U157" s="31"/>
      <c r="V157" s="36">
        <v>0</v>
      </c>
      <c r="W157" s="31"/>
      <c r="X157" s="37">
        <v>0</v>
      </c>
      <c r="Y157" s="31"/>
      <c r="Z157" s="37">
        <v>0</v>
      </c>
      <c r="AA157" s="31"/>
      <c r="AB157" s="38"/>
      <c r="AC157" s="31"/>
      <c r="AD157" s="39"/>
      <c r="AE157" s="39"/>
      <c r="AF157" s="39"/>
      <c r="AG157" s="39"/>
      <c r="AH157" s="31"/>
      <c r="AI157" s="40"/>
    </row>
    <row r="158" spans="1:35" s="2" customFormat="1" ht="23.25" customHeight="1">
      <c r="A158" s="7" t="s">
        <v>320</v>
      </c>
      <c r="B158" s="14" t="s">
        <v>321</v>
      </c>
      <c r="C158" s="29" t="s">
        <v>28</v>
      </c>
      <c r="D158" s="15" t="s">
        <v>418</v>
      </c>
      <c r="E158" s="12"/>
      <c r="F158" s="31">
        <v>0</v>
      </c>
      <c r="G158" s="31">
        <v>0</v>
      </c>
      <c r="H158" s="31">
        <v>0</v>
      </c>
      <c r="I158" s="31">
        <v>0</v>
      </c>
      <c r="J158" s="31">
        <v>0</v>
      </c>
      <c r="K158" s="31"/>
      <c r="L158" s="31">
        <v>59788</v>
      </c>
      <c r="M158" s="31" t="s">
        <v>387</v>
      </c>
      <c r="N158" s="31" t="s">
        <v>387</v>
      </c>
      <c r="O158" s="31"/>
      <c r="P158" s="31">
        <v>0</v>
      </c>
      <c r="Q158" s="31"/>
      <c r="R158" s="31">
        <v>0</v>
      </c>
      <c r="S158" s="31">
        <v>0</v>
      </c>
      <c r="T158" s="31">
        <v>0</v>
      </c>
      <c r="U158" s="31"/>
      <c r="V158" s="31">
        <v>0</v>
      </c>
      <c r="W158" s="31"/>
      <c r="X158" s="31">
        <v>0</v>
      </c>
      <c r="Y158" s="31"/>
      <c r="Z158" s="31">
        <v>0</v>
      </c>
      <c r="AA158" s="31"/>
      <c r="AB158" s="38"/>
      <c r="AC158" s="31"/>
      <c r="AD158" s="31"/>
      <c r="AE158" s="31"/>
      <c r="AF158" s="31"/>
      <c r="AG158" s="31">
        <v>-47488</v>
      </c>
      <c r="AH158" s="31"/>
      <c r="AI158" s="41">
        <f t="shared" si="3"/>
        <v>-47488</v>
      </c>
    </row>
    <row r="159" spans="1:35" s="2" customFormat="1" ht="23.25" customHeight="1">
      <c r="A159" s="6" t="s">
        <v>322</v>
      </c>
      <c r="B159" s="11" t="s">
        <v>323</v>
      </c>
      <c r="C159" s="28" t="s">
        <v>28</v>
      </c>
      <c r="D159" s="11" t="s">
        <v>418</v>
      </c>
      <c r="E159" s="12"/>
      <c r="F159" s="30">
        <v>0</v>
      </c>
      <c r="G159" s="31">
        <v>0</v>
      </c>
      <c r="H159" s="31">
        <v>0</v>
      </c>
      <c r="I159" s="31">
        <v>0</v>
      </c>
      <c r="J159" s="31">
        <v>0</v>
      </c>
      <c r="K159" s="32"/>
      <c r="L159" s="33">
        <v>0</v>
      </c>
      <c r="M159" s="31" t="s">
        <v>387</v>
      </c>
      <c r="N159" s="31" t="s">
        <v>387</v>
      </c>
      <c r="O159" s="31"/>
      <c r="P159" s="34">
        <v>0</v>
      </c>
      <c r="Q159" s="31"/>
      <c r="R159" s="35">
        <v>69</v>
      </c>
      <c r="S159" s="31">
        <v>1165</v>
      </c>
      <c r="T159" s="31">
        <v>0</v>
      </c>
      <c r="U159" s="31"/>
      <c r="V159" s="36">
        <v>0</v>
      </c>
      <c r="W159" s="31"/>
      <c r="X159" s="37">
        <v>0</v>
      </c>
      <c r="Y159" s="31"/>
      <c r="Z159" s="37">
        <v>0</v>
      </c>
      <c r="AA159" s="31"/>
      <c r="AB159" s="38"/>
      <c r="AC159" s="31"/>
      <c r="AD159" s="39"/>
      <c r="AE159" s="39"/>
      <c r="AF159" s="39"/>
      <c r="AG159" s="39">
        <v>-183816</v>
      </c>
      <c r="AH159" s="31"/>
      <c r="AI159" s="40">
        <f t="shared" si="3"/>
        <v>-183816</v>
      </c>
    </row>
    <row r="160" spans="1:35" s="2" customFormat="1" ht="23.25" customHeight="1">
      <c r="A160" s="7" t="s">
        <v>324</v>
      </c>
      <c r="B160" s="14" t="s">
        <v>325</v>
      </c>
      <c r="C160" s="29" t="s">
        <v>28</v>
      </c>
      <c r="D160" s="15" t="s">
        <v>418</v>
      </c>
      <c r="E160" s="12"/>
      <c r="F160" s="31">
        <v>-237523</v>
      </c>
      <c r="G160" s="31">
        <v>0</v>
      </c>
      <c r="H160" s="31">
        <v>0</v>
      </c>
      <c r="I160" s="31">
        <v>0</v>
      </c>
      <c r="J160" s="31">
        <v>-237523</v>
      </c>
      <c r="K160" s="31"/>
      <c r="L160" s="31">
        <v>0</v>
      </c>
      <c r="M160" s="31" t="s">
        <v>387</v>
      </c>
      <c r="N160" s="31">
        <v>0</v>
      </c>
      <c r="O160" s="31"/>
      <c r="P160" s="31">
        <v>0</v>
      </c>
      <c r="Q160" s="31"/>
      <c r="R160" s="31">
        <v>20731</v>
      </c>
      <c r="S160" s="31">
        <v>350349</v>
      </c>
      <c r="T160" s="31">
        <v>0</v>
      </c>
      <c r="U160" s="31"/>
      <c r="V160" s="31">
        <v>0</v>
      </c>
      <c r="W160" s="31"/>
      <c r="X160" s="31">
        <v>0</v>
      </c>
      <c r="Y160" s="31"/>
      <c r="Z160" s="31">
        <v>0</v>
      </c>
      <c r="AA160" s="31"/>
      <c r="AB160" s="38"/>
      <c r="AC160" s="31"/>
      <c r="AD160" s="31"/>
      <c r="AE160" s="31"/>
      <c r="AF160" s="31"/>
      <c r="AG160" s="31">
        <v>-644662</v>
      </c>
      <c r="AH160" s="31"/>
      <c r="AI160" s="41">
        <f t="shared" si="3"/>
        <v>-644662</v>
      </c>
    </row>
    <row r="161" spans="1:35" s="2" customFormat="1" ht="23.25" customHeight="1">
      <c r="A161" s="6" t="s">
        <v>326</v>
      </c>
      <c r="B161" s="11" t="s">
        <v>327</v>
      </c>
      <c r="C161" s="28" t="s">
        <v>28</v>
      </c>
      <c r="D161" s="11" t="s">
        <v>418</v>
      </c>
      <c r="E161" s="12"/>
      <c r="F161" s="30">
        <v>0</v>
      </c>
      <c r="G161" s="31">
        <v>0</v>
      </c>
      <c r="H161" s="31">
        <v>0</v>
      </c>
      <c r="I161" s="31">
        <v>0</v>
      </c>
      <c r="J161" s="31">
        <v>0</v>
      </c>
      <c r="K161" s="32"/>
      <c r="L161" s="33">
        <v>0</v>
      </c>
      <c r="M161" s="31" t="s">
        <v>387</v>
      </c>
      <c r="N161" s="31" t="s">
        <v>387</v>
      </c>
      <c r="O161" s="31"/>
      <c r="P161" s="34">
        <v>0</v>
      </c>
      <c r="Q161" s="31"/>
      <c r="R161" s="35">
        <v>1189</v>
      </c>
      <c r="S161" s="31">
        <v>20091</v>
      </c>
      <c r="T161" s="31">
        <v>0</v>
      </c>
      <c r="U161" s="31"/>
      <c r="V161" s="36">
        <v>0</v>
      </c>
      <c r="W161" s="31"/>
      <c r="X161" s="37">
        <v>0</v>
      </c>
      <c r="Y161" s="31"/>
      <c r="Z161" s="37">
        <v>0</v>
      </c>
      <c r="AA161" s="31"/>
      <c r="AB161" s="38"/>
      <c r="AC161" s="31"/>
      <c r="AD161" s="39"/>
      <c r="AE161" s="39"/>
      <c r="AF161" s="39"/>
      <c r="AG161" s="39"/>
      <c r="AH161" s="31"/>
      <c r="AI161" s="40"/>
    </row>
    <row r="162" spans="1:35" s="2" customFormat="1" ht="23.25" customHeight="1">
      <c r="A162" s="7" t="s">
        <v>328</v>
      </c>
      <c r="B162" s="14" t="s">
        <v>329</v>
      </c>
      <c r="C162" s="29" t="s">
        <v>28</v>
      </c>
      <c r="D162" s="15" t="s">
        <v>418</v>
      </c>
      <c r="E162" s="12"/>
      <c r="F162" s="31">
        <v>0</v>
      </c>
      <c r="G162" s="31">
        <v>0</v>
      </c>
      <c r="H162" s="31">
        <v>0</v>
      </c>
      <c r="I162" s="31">
        <v>0</v>
      </c>
      <c r="J162" s="31">
        <v>0</v>
      </c>
      <c r="K162" s="31"/>
      <c r="L162" s="31">
        <v>0</v>
      </c>
      <c r="M162" s="31" t="s">
        <v>387</v>
      </c>
      <c r="N162" s="31">
        <v>0</v>
      </c>
      <c r="O162" s="31"/>
      <c r="P162" s="31">
        <v>0</v>
      </c>
      <c r="Q162" s="31"/>
      <c r="R162" s="31">
        <v>398</v>
      </c>
      <c r="S162" s="31">
        <v>6728</v>
      </c>
      <c r="T162" s="31">
        <v>0</v>
      </c>
      <c r="U162" s="31"/>
      <c r="V162" s="31">
        <v>0</v>
      </c>
      <c r="W162" s="31"/>
      <c r="X162" s="31">
        <v>0</v>
      </c>
      <c r="Y162" s="31"/>
      <c r="Z162" s="31">
        <v>0</v>
      </c>
      <c r="AA162" s="31"/>
      <c r="AB162" s="38"/>
      <c r="AC162" s="31"/>
      <c r="AD162" s="31"/>
      <c r="AE162" s="31"/>
      <c r="AF162" s="31"/>
      <c r="AG162" s="31">
        <v>-22336</v>
      </c>
      <c r="AH162" s="31"/>
      <c r="AI162" s="41">
        <f t="shared" si="3"/>
        <v>-22336</v>
      </c>
    </row>
    <row r="163" spans="1:35" s="2" customFormat="1" ht="23.25" customHeight="1">
      <c r="A163" s="6" t="s">
        <v>330</v>
      </c>
      <c r="B163" s="11" t="s">
        <v>331</v>
      </c>
      <c r="C163" s="28" t="s">
        <v>28</v>
      </c>
      <c r="D163" s="11" t="s">
        <v>418</v>
      </c>
      <c r="E163" s="12"/>
      <c r="F163" s="30">
        <v>0</v>
      </c>
      <c r="G163" s="31">
        <v>0</v>
      </c>
      <c r="H163" s="31">
        <v>0</v>
      </c>
      <c r="I163" s="31">
        <v>0</v>
      </c>
      <c r="J163" s="31">
        <v>0</v>
      </c>
      <c r="K163" s="32"/>
      <c r="L163" s="33">
        <v>0</v>
      </c>
      <c r="M163" s="31" t="s">
        <v>387</v>
      </c>
      <c r="N163" s="31" t="s">
        <v>387</v>
      </c>
      <c r="O163" s="31"/>
      <c r="P163" s="34">
        <v>0</v>
      </c>
      <c r="Q163" s="31"/>
      <c r="R163" s="35">
        <v>3700</v>
      </c>
      <c r="S163" s="31">
        <v>24005</v>
      </c>
      <c r="T163" s="31">
        <v>21533.041083867301</v>
      </c>
      <c r="U163" s="31"/>
      <c r="V163" s="36">
        <v>0</v>
      </c>
      <c r="W163" s="31"/>
      <c r="X163" s="37">
        <v>0</v>
      </c>
      <c r="Y163" s="31"/>
      <c r="Z163" s="37">
        <v>0</v>
      </c>
      <c r="AA163" s="31"/>
      <c r="AB163" s="38"/>
      <c r="AC163" s="31"/>
      <c r="AD163" s="39"/>
      <c r="AE163" s="39"/>
      <c r="AF163" s="39"/>
      <c r="AG163" s="39">
        <v>-15203</v>
      </c>
      <c r="AH163" s="31"/>
      <c r="AI163" s="40">
        <f t="shared" si="3"/>
        <v>-15203</v>
      </c>
    </row>
    <row r="164" spans="1:35" s="2" customFormat="1" ht="23.25" customHeight="1">
      <c r="A164" s="7" t="s">
        <v>332</v>
      </c>
      <c r="B164" s="14" t="s">
        <v>381</v>
      </c>
      <c r="C164" s="29" t="s">
        <v>28</v>
      </c>
      <c r="D164" s="15" t="s">
        <v>418</v>
      </c>
      <c r="E164" s="12"/>
      <c r="F164" s="31">
        <v>0</v>
      </c>
      <c r="G164" s="31">
        <v>0</v>
      </c>
      <c r="H164" s="31">
        <v>0</v>
      </c>
      <c r="I164" s="31">
        <v>0</v>
      </c>
      <c r="J164" s="31">
        <v>0</v>
      </c>
      <c r="K164" s="31"/>
      <c r="L164" s="31">
        <v>0</v>
      </c>
      <c r="M164" s="31" t="s">
        <v>387</v>
      </c>
      <c r="N164" s="31" t="s">
        <v>387</v>
      </c>
      <c r="O164" s="31"/>
      <c r="P164" s="31">
        <v>0</v>
      </c>
      <c r="Q164" s="31"/>
      <c r="R164" s="31">
        <v>1779</v>
      </c>
      <c r="S164" s="31">
        <v>12679</v>
      </c>
      <c r="T164" s="31">
        <v>1139.2086164982356</v>
      </c>
      <c r="U164" s="31"/>
      <c r="V164" s="31">
        <v>0</v>
      </c>
      <c r="W164" s="31"/>
      <c r="X164" s="31">
        <v>0</v>
      </c>
      <c r="Y164" s="31"/>
      <c r="Z164" s="31">
        <v>0</v>
      </c>
      <c r="AA164" s="31"/>
      <c r="AB164" s="38"/>
      <c r="AC164" s="31"/>
      <c r="AD164" s="31"/>
      <c r="AE164" s="31"/>
      <c r="AF164" s="31"/>
      <c r="AG164" s="31">
        <v>-486608</v>
      </c>
      <c r="AH164" s="31"/>
      <c r="AI164" s="41">
        <f t="shared" si="3"/>
        <v>-486608</v>
      </c>
    </row>
    <row r="165" spans="1:35" s="2" customFormat="1" ht="23.25" customHeight="1">
      <c r="A165" s="6" t="s">
        <v>64</v>
      </c>
      <c r="B165" s="11" t="s">
        <v>65</v>
      </c>
      <c r="C165" s="28" t="s">
        <v>48</v>
      </c>
      <c r="D165" s="11" t="s">
        <v>419</v>
      </c>
      <c r="E165" s="12"/>
      <c r="F165" s="30">
        <v>0</v>
      </c>
      <c r="G165" s="31">
        <v>0</v>
      </c>
      <c r="H165" s="31">
        <v>0</v>
      </c>
      <c r="I165" s="31">
        <v>0</v>
      </c>
      <c r="J165" s="31">
        <v>0</v>
      </c>
      <c r="K165" s="32"/>
      <c r="L165" s="33">
        <v>0</v>
      </c>
      <c r="M165" s="31">
        <v>29554</v>
      </c>
      <c r="N165" s="31" t="s">
        <v>387</v>
      </c>
      <c r="O165" s="31"/>
      <c r="P165" s="34">
        <v>0</v>
      </c>
      <c r="Q165" s="31"/>
      <c r="R165" s="35">
        <v>1511</v>
      </c>
      <c r="S165" s="31">
        <v>10595</v>
      </c>
      <c r="T165" s="31">
        <v>0</v>
      </c>
      <c r="U165" s="31"/>
      <c r="V165" s="36">
        <v>0</v>
      </c>
      <c r="W165" s="31"/>
      <c r="X165" s="37">
        <v>0</v>
      </c>
      <c r="Y165" s="31"/>
      <c r="Z165" s="37">
        <v>0</v>
      </c>
      <c r="AA165" s="31"/>
      <c r="AB165" s="38"/>
      <c r="AC165" s="31"/>
      <c r="AD165" s="39"/>
      <c r="AE165" s="39"/>
      <c r="AF165" s="39"/>
      <c r="AG165" s="39">
        <v>-4007</v>
      </c>
      <c r="AH165" s="31"/>
      <c r="AI165" s="40">
        <f t="shared" si="3"/>
        <v>-4007</v>
      </c>
    </row>
    <row r="166" spans="1:35" s="2" customFormat="1" ht="23.25" customHeight="1">
      <c r="A166" s="7" t="s">
        <v>33</v>
      </c>
      <c r="B166" s="14" t="s">
        <v>34</v>
      </c>
      <c r="C166" s="29" t="s">
        <v>35</v>
      </c>
      <c r="D166" s="15" t="s">
        <v>420</v>
      </c>
      <c r="E166" s="12"/>
      <c r="F166" s="31">
        <v>0</v>
      </c>
      <c r="G166" s="31">
        <v>0</v>
      </c>
      <c r="H166" s="31">
        <v>0</v>
      </c>
      <c r="I166" s="31">
        <v>0</v>
      </c>
      <c r="J166" s="31">
        <v>0</v>
      </c>
      <c r="K166" s="31"/>
      <c r="L166" s="31">
        <v>0</v>
      </c>
      <c r="M166" s="31">
        <v>29554</v>
      </c>
      <c r="N166" s="31" t="s">
        <v>387</v>
      </c>
      <c r="O166" s="31"/>
      <c r="P166" s="31">
        <v>0</v>
      </c>
      <c r="Q166" s="31"/>
      <c r="R166" s="31">
        <v>28380</v>
      </c>
      <c r="S166" s="31">
        <v>330277</v>
      </c>
      <c r="T166" s="31">
        <v>52211.483036227037</v>
      </c>
      <c r="U166" s="31"/>
      <c r="V166" s="31">
        <v>56430</v>
      </c>
      <c r="W166" s="31"/>
      <c r="X166" s="31">
        <v>3796</v>
      </c>
      <c r="Y166" s="31"/>
      <c r="Z166" s="31">
        <v>0</v>
      </c>
      <c r="AA166" s="31"/>
      <c r="AB166" s="38"/>
      <c r="AC166" s="31"/>
      <c r="AD166" s="31"/>
      <c r="AE166" s="31"/>
      <c r="AF166" s="31"/>
      <c r="AG166" s="31">
        <v>-188945</v>
      </c>
      <c r="AH166" s="31"/>
      <c r="AI166" s="41">
        <f t="shared" ref="AI166:AI192" si="4">SUM(AD166:AG166)</f>
        <v>-188945</v>
      </c>
    </row>
    <row r="167" spans="1:35" s="2" customFormat="1" ht="23.25" customHeight="1">
      <c r="A167" s="6" t="s">
        <v>36</v>
      </c>
      <c r="B167" s="11" t="s">
        <v>37</v>
      </c>
      <c r="C167" s="28" t="s">
        <v>38</v>
      </c>
      <c r="D167" s="11" t="s">
        <v>420</v>
      </c>
      <c r="E167" s="12"/>
      <c r="F167" s="30">
        <v>0</v>
      </c>
      <c r="G167" s="31">
        <v>0</v>
      </c>
      <c r="H167" s="31">
        <v>0</v>
      </c>
      <c r="I167" s="31">
        <v>0</v>
      </c>
      <c r="J167" s="31">
        <v>0</v>
      </c>
      <c r="K167" s="32"/>
      <c r="L167" s="33">
        <v>149470</v>
      </c>
      <c r="M167" s="31">
        <v>88662</v>
      </c>
      <c r="N167" s="31">
        <v>122096</v>
      </c>
      <c r="O167" s="31"/>
      <c r="P167" s="34">
        <v>40256</v>
      </c>
      <c r="Q167" s="31"/>
      <c r="R167" s="35">
        <v>127883</v>
      </c>
      <c r="S167" s="31">
        <v>866701</v>
      </c>
      <c r="T167" s="31">
        <v>174540.57088495154</v>
      </c>
      <c r="U167" s="31"/>
      <c r="V167" s="36">
        <v>438160</v>
      </c>
      <c r="W167" s="31"/>
      <c r="X167" s="37">
        <v>62576</v>
      </c>
      <c r="Y167" s="31"/>
      <c r="Z167" s="37">
        <v>773120</v>
      </c>
      <c r="AA167" s="31"/>
      <c r="AB167" s="38"/>
      <c r="AC167" s="31"/>
      <c r="AD167" s="39"/>
      <c r="AE167" s="39"/>
      <c r="AF167" s="39"/>
      <c r="AG167" s="39">
        <v>-727036</v>
      </c>
      <c r="AH167" s="31"/>
      <c r="AI167" s="40">
        <f t="shared" si="4"/>
        <v>-727036</v>
      </c>
    </row>
    <row r="168" spans="1:35" s="2" customFormat="1" ht="23.25" customHeight="1">
      <c r="A168" s="7" t="s">
        <v>88</v>
      </c>
      <c r="B168" s="14" t="s">
        <v>89</v>
      </c>
      <c r="C168" s="29" t="s">
        <v>35</v>
      </c>
      <c r="D168" s="15" t="s">
        <v>420</v>
      </c>
      <c r="E168" s="12"/>
      <c r="F168" s="31">
        <v>0</v>
      </c>
      <c r="G168" s="31">
        <v>0</v>
      </c>
      <c r="H168" s="31">
        <v>0</v>
      </c>
      <c r="I168" s="31">
        <v>0</v>
      </c>
      <c r="J168" s="31">
        <v>0</v>
      </c>
      <c r="K168" s="31"/>
      <c r="L168" s="31">
        <v>59788</v>
      </c>
      <c r="M168" s="31">
        <v>88662</v>
      </c>
      <c r="N168" s="31">
        <v>61048</v>
      </c>
      <c r="O168" s="31"/>
      <c r="P168" s="31">
        <v>0</v>
      </c>
      <c r="Q168" s="31"/>
      <c r="R168" s="31">
        <v>8909</v>
      </c>
      <c r="S168" s="31">
        <v>29661</v>
      </c>
      <c r="T168" s="31">
        <v>4038.9798762173978</v>
      </c>
      <c r="U168" s="31"/>
      <c r="V168" s="31">
        <v>0</v>
      </c>
      <c r="W168" s="31"/>
      <c r="X168" s="31">
        <v>10471</v>
      </c>
      <c r="Y168" s="31"/>
      <c r="Z168" s="31">
        <v>0</v>
      </c>
      <c r="AA168" s="31"/>
      <c r="AB168" s="38"/>
      <c r="AC168" s="31"/>
      <c r="AD168" s="31"/>
      <c r="AE168" s="31"/>
      <c r="AF168" s="31"/>
      <c r="AG168" s="31">
        <v>-29285</v>
      </c>
      <c r="AH168" s="31"/>
      <c r="AI168" s="41">
        <f t="shared" si="4"/>
        <v>-29285</v>
      </c>
    </row>
    <row r="169" spans="1:35" s="2" customFormat="1" ht="23.25" customHeight="1">
      <c r="A169" s="6" t="s">
        <v>94</v>
      </c>
      <c r="B169" s="11" t="s">
        <v>95</v>
      </c>
      <c r="C169" s="28" t="s">
        <v>5</v>
      </c>
      <c r="D169" s="11" t="s">
        <v>420</v>
      </c>
      <c r="E169" s="12"/>
      <c r="F169" s="30">
        <v>0</v>
      </c>
      <c r="G169" s="31">
        <v>0</v>
      </c>
      <c r="H169" s="31">
        <v>0</v>
      </c>
      <c r="I169" s="31">
        <v>0</v>
      </c>
      <c r="J169" s="31">
        <v>0</v>
      </c>
      <c r="K169" s="32"/>
      <c r="L169" s="33">
        <v>179364</v>
      </c>
      <c r="M169" s="31">
        <v>88662</v>
      </c>
      <c r="N169" s="31">
        <v>183144</v>
      </c>
      <c r="O169" s="31"/>
      <c r="P169" s="34">
        <v>20128</v>
      </c>
      <c r="Q169" s="31"/>
      <c r="R169" s="35">
        <v>86580</v>
      </c>
      <c r="S169" s="31">
        <v>479508</v>
      </c>
      <c r="T169" s="31">
        <v>86089.18724799456</v>
      </c>
      <c r="U169" s="31"/>
      <c r="V169" s="36">
        <v>325685</v>
      </c>
      <c r="W169" s="31"/>
      <c r="X169" s="37">
        <v>34552</v>
      </c>
      <c r="Y169" s="31"/>
      <c r="Z169" s="37">
        <v>0</v>
      </c>
      <c r="AA169" s="31"/>
      <c r="AB169" s="38"/>
      <c r="AC169" s="31"/>
      <c r="AD169" s="39"/>
      <c r="AE169" s="39"/>
      <c r="AF169" s="39"/>
      <c r="AG169" s="39">
        <v>-504647</v>
      </c>
      <c r="AH169" s="31"/>
      <c r="AI169" s="40">
        <f t="shared" si="4"/>
        <v>-504647</v>
      </c>
    </row>
    <row r="170" spans="1:35" s="2" customFormat="1" ht="23.25" customHeight="1">
      <c r="A170" s="7" t="s">
        <v>165</v>
      </c>
      <c r="B170" s="14" t="s">
        <v>166</v>
      </c>
      <c r="C170" s="29" t="s">
        <v>48</v>
      </c>
      <c r="D170" s="15" t="s">
        <v>420</v>
      </c>
      <c r="E170" s="12"/>
      <c r="F170" s="31">
        <v>0</v>
      </c>
      <c r="G170" s="31">
        <v>0</v>
      </c>
      <c r="H170" s="31">
        <v>0</v>
      </c>
      <c r="I170" s="31">
        <v>0</v>
      </c>
      <c r="J170" s="31">
        <v>0</v>
      </c>
      <c r="K170" s="31"/>
      <c r="L170" s="31">
        <v>239152</v>
      </c>
      <c r="M170" s="31">
        <v>295540</v>
      </c>
      <c r="N170" s="31">
        <v>152620</v>
      </c>
      <c r="O170" s="31"/>
      <c r="P170" s="31">
        <v>33625</v>
      </c>
      <c r="Q170" s="31"/>
      <c r="R170" s="31">
        <v>199223</v>
      </c>
      <c r="S170" s="31">
        <v>1166665</v>
      </c>
      <c r="T170" s="31">
        <v>204540.66429308397</v>
      </c>
      <c r="U170" s="31"/>
      <c r="V170" s="31">
        <v>532528</v>
      </c>
      <c r="W170" s="31"/>
      <c r="X170" s="31">
        <v>69517</v>
      </c>
      <c r="Y170" s="31"/>
      <c r="Z170" s="31">
        <v>0</v>
      </c>
      <c r="AA170" s="31"/>
      <c r="AB170" s="38"/>
      <c r="AC170" s="31"/>
      <c r="AD170" s="31"/>
      <c r="AE170" s="31"/>
      <c r="AF170" s="31"/>
      <c r="AG170" s="31">
        <v>-949073</v>
      </c>
      <c r="AH170" s="31"/>
      <c r="AI170" s="41">
        <f t="shared" si="4"/>
        <v>-949073</v>
      </c>
    </row>
    <row r="171" spans="1:35" s="2" customFormat="1" ht="23.25" customHeight="1">
      <c r="A171" s="6" t="s">
        <v>167</v>
      </c>
      <c r="B171" s="11" t="s">
        <v>168</v>
      </c>
      <c r="C171" s="28" t="s">
        <v>8</v>
      </c>
      <c r="D171" s="11" t="s">
        <v>420</v>
      </c>
      <c r="E171" s="12"/>
      <c r="F171" s="30">
        <v>-137752.74082954033</v>
      </c>
      <c r="G171" s="31">
        <v>-33385.258582200331</v>
      </c>
      <c r="H171" s="31">
        <v>7298.8510913299979</v>
      </c>
      <c r="I171" s="31">
        <v>-53333</v>
      </c>
      <c r="J171" s="31">
        <v>-58333.333338670003</v>
      </c>
      <c r="K171" s="32"/>
      <c r="L171" s="33">
        <v>59788</v>
      </c>
      <c r="M171" s="31">
        <v>29554</v>
      </c>
      <c r="N171" s="31">
        <v>61048</v>
      </c>
      <c r="O171" s="31"/>
      <c r="P171" s="34">
        <v>6749</v>
      </c>
      <c r="Q171" s="31"/>
      <c r="R171" s="35">
        <v>353630</v>
      </c>
      <c r="S171" s="31">
        <v>2026051</v>
      </c>
      <c r="T171" s="31">
        <v>430575.84954661393</v>
      </c>
      <c r="U171" s="31"/>
      <c r="V171" s="36">
        <v>1372984</v>
      </c>
      <c r="W171" s="31"/>
      <c r="X171" s="37">
        <v>27706</v>
      </c>
      <c r="Y171" s="31"/>
      <c r="Z171" s="37">
        <v>0</v>
      </c>
      <c r="AA171" s="31"/>
      <c r="AB171" s="38"/>
      <c r="AC171" s="31"/>
      <c r="AD171" s="39"/>
      <c r="AE171" s="39"/>
      <c r="AF171" s="39"/>
      <c r="AG171" s="39">
        <v>-1845226</v>
      </c>
      <c r="AH171" s="31"/>
      <c r="AI171" s="40">
        <f t="shared" si="4"/>
        <v>-1845226</v>
      </c>
    </row>
    <row r="172" spans="1:35" s="2" customFormat="1" ht="23.25" customHeight="1">
      <c r="A172" s="7" t="s">
        <v>216</v>
      </c>
      <c r="B172" s="14" t="s">
        <v>217</v>
      </c>
      <c r="C172" s="29" t="s">
        <v>8</v>
      </c>
      <c r="D172" s="15" t="s">
        <v>420</v>
      </c>
      <c r="E172" s="12"/>
      <c r="F172" s="31">
        <v>63635.529413401753</v>
      </c>
      <c r="G172" s="31">
        <v>7778.5294134017549</v>
      </c>
      <c r="H172" s="31">
        <v>0</v>
      </c>
      <c r="I172" s="31">
        <v>13111</v>
      </c>
      <c r="J172" s="31">
        <v>42746</v>
      </c>
      <c r="K172" s="31"/>
      <c r="L172" s="31">
        <v>418516</v>
      </c>
      <c r="M172" s="31">
        <v>295540</v>
      </c>
      <c r="N172" s="31">
        <v>427336</v>
      </c>
      <c r="O172" s="31"/>
      <c r="P172" s="31">
        <v>188827</v>
      </c>
      <c r="Q172" s="31"/>
      <c r="R172" s="31">
        <v>156602</v>
      </c>
      <c r="S172" s="31">
        <v>740390</v>
      </c>
      <c r="T172" s="31">
        <v>88528.930284765884</v>
      </c>
      <c r="U172" s="31"/>
      <c r="V172" s="31">
        <v>542517</v>
      </c>
      <c r="W172" s="31"/>
      <c r="X172" s="31">
        <v>65444</v>
      </c>
      <c r="Y172" s="31"/>
      <c r="Z172" s="31">
        <v>0</v>
      </c>
      <c r="AA172" s="31"/>
      <c r="AB172" s="38"/>
      <c r="AC172" s="31"/>
      <c r="AD172" s="31"/>
      <c r="AE172" s="31"/>
      <c r="AF172" s="31"/>
      <c r="AG172" s="31">
        <v>-691167</v>
      </c>
      <c r="AH172" s="31"/>
      <c r="AI172" s="41">
        <f t="shared" si="4"/>
        <v>-691167</v>
      </c>
    </row>
    <row r="173" spans="1:35" s="2" customFormat="1" ht="23.25" customHeight="1">
      <c r="A173" s="6" t="s">
        <v>333</v>
      </c>
      <c r="B173" s="11" t="s">
        <v>334</v>
      </c>
      <c r="C173" s="28" t="s">
        <v>28</v>
      </c>
      <c r="D173" s="11" t="s">
        <v>420</v>
      </c>
      <c r="E173" s="12"/>
      <c r="F173" s="30">
        <v>0</v>
      </c>
      <c r="G173" s="31">
        <v>0</v>
      </c>
      <c r="H173" s="31">
        <v>0</v>
      </c>
      <c r="I173" s="31">
        <v>0</v>
      </c>
      <c r="J173" s="31">
        <v>0</v>
      </c>
      <c r="K173" s="32"/>
      <c r="L173" s="33"/>
      <c r="M173" s="31" t="s">
        <v>387</v>
      </c>
      <c r="N173" s="31">
        <v>0</v>
      </c>
      <c r="O173" s="31"/>
      <c r="P173" s="34">
        <v>0</v>
      </c>
      <c r="Q173" s="31"/>
      <c r="R173" s="35">
        <v>336</v>
      </c>
      <c r="S173" s="31">
        <v>5684</v>
      </c>
      <c r="T173" s="31">
        <v>0</v>
      </c>
      <c r="U173" s="31"/>
      <c r="V173" s="36">
        <v>0</v>
      </c>
      <c r="W173" s="31"/>
      <c r="X173" s="37">
        <v>14021</v>
      </c>
      <c r="Y173" s="31"/>
      <c r="Z173" s="37">
        <v>0</v>
      </c>
      <c r="AA173" s="31"/>
      <c r="AB173" s="38"/>
      <c r="AC173" s="31"/>
      <c r="AD173" s="39"/>
      <c r="AE173" s="39"/>
      <c r="AF173" s="39"/>
      <c r="AG173" s="39">
        <v>-42812</v>
      </c>
      <c r="AH173" s="31"/>
      <c r="AI173" s="40">
        <f t="shared" si="4"/>
        <v>-42812</v>
      </c>
    </row>
    <row r="174" spans="1:35" s="2" customFormat="1" ht="23.25" customHeight="1">
      <c r="A174" s="7" t="s">
        <v>335</v>
      </c>
      <c r="B174" s="14" t="s">
        <v>336</v>
      </c>
      <c r="C174" s="29" t="s">
        <v>28</v>
      </c>
      <c r="D174" s="15" t="s">
        <v>420</v>
      </c>
      <c r="E174" s="12"/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/>
      <c r="L174" s="31"/>
      <c r="M174" s="31" t="s">
        <v>387</v>
      </c>
      <c r="N174" s="31" t="s">
        <v>387</v>
      </c>
      <c r="O174" s="31"/>
      <c r="P174" s="31" t="s">
        <v>387</v>
      </c>
      <c r="Q174" s="31"/>
      <c r="R174" s="31" t="s">
        <v>387</v>
      </c>
      <c r="S174" s="31">
        <v>0</v>
      </c>
      <c r="T174" s="31">
        <v>0</v>
      </c>
      <c r="U174" s="31"/>
      <c r="V174" s="31" t="s">
        <v>387</v>
      </c>
      <c r="W174" s="31"/>
      <c r="X174" s="31">
        <v>0</v>
      </c>
      <c r="Y174" s="31"/>
      <c r="Z174" s="31">
        <v>0</v>
      </c>
      <c r="AA174" s="31"/>
      <c r="AB174" s="38"/>
      <c r="AC174" s="31"/>
      <c r="AD174" s="31"/>
      <c r="AE174" s="31"/>
      <c r="AF174" s="31"/>
      <c r="AG174" s="31">
        <v>0</v>
      </c>
      <c r="AH174" s="31"/>
      <c r="AI174" s="41">
        <f t="shared" si="4"/>
        <v>0</v>
      </c>
    </row>
    <row r="175" spans="1:35" s="2" customFormat="1" ht="23.25" customHeight="1">
      <c r="A175" s="6" t="s">
        <v>337</v>
      </c>
      <c r="B175" s="11" t="s">
        <v>338</v>
      </c>
      <c r="C175" s="28" t="s">
        <v>28</v>
      </c>
      <c r="D175" s="11" t="s">
        <v>420</v>
      </c>
      <c r="E175" s="12"/>
      <c r="F175" s="30">
        <v>0</v>
      </c>
      <c r="G175" s="31">
        <v>0</v>
      </c>
      <c r="H175" s="31">
        <v>0</v>
      </c>
      <c r="I175" s="31">
        <v>0</v>
      </c>
      <c r="J175" s="31">
        <v>0</v>
      </c>
      <c r="K175" s="32"/>
      <c r="L175" s="33"/>
      <c r="M175" s="31" t="s">
        <v>387</v>
      </c>
      <c r="N175" s="31">
        <v>0</v>
      </c>
      <c r="O175" s="31"/>
      <c r="P175" s="34">
        <v>0</v>
      </c>
      <c r="Q175" s="31"/>
      <c r="R175" s="35">
        <v>0</v>
      </c>
      <c r="S175" s="31">
        <v>0</v>
      </c>
      <c r="T175" s="31">
        <v>0</v>
      </c>
      <c r="U175" s="31"/>
      <c r="V175" s="36">
        <v>0</v>
      </c>
      <c r="W175" s="31"/>
      <c r="X175" s="37">
        <v>0</v>
      </c>
      <c r="Y175" s="31"/>
      <c r="Z175" s="37">
        <v>0</v>
      </c>
      <c r="AA175" s="31"/>
      <c r="AB175" s="38"/>
      <c r="AC175" s="31"/>
      <c r="AD175" s="39"/>
      <c r="AE175" s="39"/>
      <c r="AF175" s="39"/>
      <c r="AG175" s="39">
        <v>0</v>
      </c>
      <c r="AH175" s="31"/>
      <c r="AI175" s="40">
        <f t="shared" si="4"/>
        <v>0</v>
      </c>
    </row>
    <row r="176" spans="1:35" s="2" customFormat="1" ht="23.25" customHeight="1">
      <c r="A176" s="7" t="s">
        <v>339</v>
      </c>
      <c r="B176" s="14" t="s">
        <v>340</v>
      </c>
      <c r="C176" s="29" t="s">
        <v>28</v>
      </c>
      <c r="D176" s="15" t="s">
        <v>420</v>
      </c>
      <c r="E176" s="12"/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/>
      <c r="L176" s="31"/>
      <c r="M176" s="31" t="s">
        <v>387</v>
      </c>
      <c r="N176" s="31" t="s">
        <v>387</v>
      </c>
      <c r="O176" s="31"/>
      <c r="P176" s="31" t="s">
        <v>387</v>
      </c>
      <c r="Q176" s="31"/>
      <c r="R176" s="31" t="s">
        <v>387</v>
      </c>
      <c r="S176" s="31">
        <v>0</v>
      </c>
      <c r="T176" s="31">
        <v>0</v>
      </c>
      <c r="U176" s="31"/>
      <c r="V176" s="31" t="s">
        <v>387</v>
      </c>
      <c r="W176" s="31"/>
      <c r="X176" s="31">
        <v>0</v>
      </c>
      <c r="Y176" s="31"/>
      <c r="Z176" s="31">
        <v>0</v>
      </c>
      <c r="AA176" s="31"/>
      <c r="AB176" s="38"/>
      <c r="AC176" s="31"/>
      <c r="AD176" s="31"/>
      <c r="AE176" s="31"/>
      <c r="AF176" s="31"/>
      <c r="AG176" s="31">
        <v>0</v>
      </c>
      <c r="AH176" s="31"/>
      <c r="AI176" s="41">
        <f t="shared" si="4"/>
        <v>0</v>
      </c>
    </row>
    <row r="177" spans="1:35" s="2" customFormat="1" ht="23.25" customHeight="1">
      <c r="A177" s="6" t="s">
        <v>341</v>
      </c>
      <c r="B177" s="11" t="s">
        <v>342</v>
      </c>
      <c r="C177" s="28" t="s">
        <v>28</v>
      </c>
      <c r="D177" s="11" t="s">
        <v>420</v>
      </c>
      <c r="E177" s="12"/>
      <c r="F177" s="30">
        <v>0</v>
      </c>
      <c r="G177" s="31">
        <v>0</v>
      </c>
      <c r="H177" s="31">
        <v>0</v>
      </c>
      <c r="I177" s="31">
        <v>0</v>
      </c>
      <c r="J177" s="31">
        <v>0</v>
      </c>
      <c r="K177" s="32"/>
      <c r="L177" s="33"/>
      <c r="M177" s="31" t="s">
        <v>387</v>
      </c>
      <c r="N177" s="31" t="s">
        <v>387</v>
      </c>
      <c r="O177" s="31"/>
      <c r="P177" s="34" t="s">
        <v>387</v>
      </c>
      <c r="Q177" s="31"/>
      <c r="R177" s="35" t="s">
        <v>387</v>
      </c>
      <c r="S177" s="31">
        <v>0</v>
      </c>
      <c r="T177" s="31">
        <v>0</v>
      </c>
      <c r="U177" s="31"/>
      <c r="V177" s="36" t="s">
        <v>387</v>
      </c>
      <c r="W177" s="31"/>
      <c r="X177" s="37">
        <v>0</v>
      </c>
      <c r="Y177" s="31"/>
      <c r="Z177" s="37">
        <v>0</v>
      </c>
      <c r="AA177" s="31"/>
      <c r="AB177" s="38"/>
      <c r="AC177" s="31"/>
      <c r="AD177" s="39"/>
      <c r="AE177" s="39"/>
      <c r="AF177" s="39"/>
      <c r="AG177" s="39">
        <v>-2050</v>
      </c>
      <c r="AH177" s="31"/>
      <c r="AI177" s="40">
        <f t="shared" si="4"/>
        <v>-2050</v>
      </c>
    </row>
    <row r="178" spans="1:35" s="2" customFormat="1" ht="23.25" customHeight="1">
      <c r="A178" s="7" t="s">
        <v>62</v>
      </c>
      <c r="B178" s="14" t="s">
        <v>63</v>
      </c>
      <c r="C178" s="29" t="s">
        <v>48</v>
      </c>
      <c r="D178" s="15" t="s">
        <v>421</v>
      </c>
      <c r="E178" s="12"/>
      <c r="F178" s="31">
        <v>0</v>
      </c>
      <c r="G178" s="31">
        <v>0</v>
      </c>
      <c r="H178" s="31">
        <v>0</v>
      </c>
      <c r="I178" s="31">
        <v>0</v>
      </c>
      <c r="J178" s="31">
        <v>0</v>
      </c>
      <c r="K178" s="31"/>
      <c r="L178" s="31"/>
      <c r="M178" s="31" t="s">
        <v>387</v>
      </c>
      <c r="N178" s="31" t="s">
        <v>387</v>
      </c>
      <c r="O178" s="31"/>
      <c r="P178" s="31">
        <v>0</v>
      </c>
      <c r="Q178" s="31"/>
      <c r="R178" s="31">
        <v>1461</v>
      </c>
      <c r="S178" s="31">
        <v>24007</v>
      </c>
      <c r="T178" s="31">
        <v>0</v>
      </c>
      <c r="U178" s="31"/>
      <c r="V178" s="31">
        <v>0</v>
      </c>
      <c r="W178" s="31"/>
      <c r="X178" s="31">
        <v>0</v>
      </c>
      <c r="Y178" s="31"/>
      <c r="Z178" s="31">
        <v>0</v>
      </c>
      <c r="AA178" s="31"/>
      <c r="AB178" s="38"/>
      <c r="AC178" s="31"/>
      <c r="AD178" s="31"/>
      <c r="AE178" s="31"/>
      <c r="AF178" s="31"/>
      <c r="AG178" s="31">
        <v>-8476</v>
      </c>
      <c r="AH178" s="31"/>
      <c r="AI178" s="41">
        <f t="shared" si="4"/>
        <v>-8476</v>
      </c>
    </row>
    <row r="179" spans="1:35" s="2" customFormat="1" ht="23.25" customHeight="1">
      <c r="A179" s="6" t="s">
        <v>343</v>
      </c>
      <c r="B179" s="11" t="s">
        <v>344</v>
      </c>
      <c r="C179" s="28" t="s">
        <v>28</v>
      </c>
      <c r="D179" s="11" t="s">
        <v>421</v>
      </c>
      <c r="E179" s="12"/>
      <c r="F179" s="30">
        <v>0</v>
      </c>
      <c r="G179" s="31">
        <v>0</v>
      </c>
      <c r="H179" s="31">
        <v>0</v>
      </c>
      <c r="I179" s="31">
        <v>0</v>
      </c>
      <c r="J179" s="31">
        <v>0</v>
      </c>
      <c r="K179" s="32"/>
      <c r="L179" s="33"/>
      <c r="M179" s="31" t="s">
        <v>387</v>
      </c>
      <c r="N179" s="31" t="s">
        <v>387</v>
      </c>
      <c r="O179" s="31"/>
      <c r="P179" s="34">
        <v>0</v>
      </c>
      <c r="Q179" s="31"/>
      <c r="R179" s="35">
        <v>0</v>
      </c>
      <c r="S179" s="31">
        <v>5771</v>
      </c>
      <c r="T179" s="31">
        <v>0</v>
      </c>
      <c r="U179" s="31"/>
      <c r="V179" s="36">
        <v>0</v>
      </c>
      <c r="W179" s="31"/>
      <c r="X179" s="37">
        <v>0</v>
      </c>
      <c r="Y179" s="31"/>
      <c r="Z179" s="37">
        <v>0</v>
      </c>
      <c r="AA179" s="31"/>
      <c r="AB179" s="38"/>
      <c r="AC179" s="31"/>
      <c r="AD179" s="39"/>
      <c r="AE179" s="39"/>
      <c r="AF179" s="39"/>
      <c r="AG179" s="39">
        <v>-3000</v>
      </c>
      <c r="AH179" s="31"/>
      <c r="AI179" s="40">
        <f t="shared" si="4"/>
        <v>-3000</v>
      </c>
    </row>
    <row r="180" spans="1:35" s="2" customFormat="1" ht="23.25" customHeight="1">
      <c r="A180" s="7" t="s">
        <v>345</v>
      </c>
      <c r="B180" s="14" t="s">
        <v>346</v>
      </c>
      <c r="C180" s="29" t="s">
        <v>28</v>
      </c>
      <c r="D180" s="15" t="s">
        <v>421</v>
      </c>
      <c r="E180" s="12"/>
      <c r="F180" s="31">
        <v>0</v>
      </c>
      <c r="G180" s="31">
        <v>0</v>
      </c>
      <c r="H180" s="31">
        <v>0</v>
      </c>
      <c r="I180" s="31">
        <v>0</v>
      </c>
      <c r="J180" s="31">
        <v>0</v>
      </c>
      <c r="K180" s="31"/>
      <c r="L180" s="31"/>
      <c r="M180" s="31" t="s">
        <v>387</v>
      </c>
      <c r="N180" s="31" t="s">
        <v>387</v>
      </c>
      <c r="O180" s="31"/>
      <c r="P180" s="31">
        <v>0</v>
      </c>
      <c r="Q180" s="31"/>
      <c r="R180" s="31">
        <v>193</v>
      </c>
      <c r="S180" s="31">
        <v>3265</v>
      </c>
      <c r="T180" s="31">
        <v>0</v>
      </c>
      <c r="U180" s="31"/>
      <c r="V180" s="31">
        <v>0</v>
      </c>
      <c r="W180" s="31"/>
      <c r="X180" s="31">
        <v>0</v>
      </c>
      <c r="Y180" s="31"/>
      <c r="Z180" s="31">
        <v>0</v>
      </c>
      <c r="AA180" s="31"/>
      <c r="AB180" s="38"/>
      <c r="AC180" s="31"/>
      <c r="AD180" s="31"/>
      <c r="AE180" s="31"/>
      <c r="AF180" s="31"/>
      <c r="AG180" s="31">
        <v>-45036</v>
      </c>
      <c r="AH180" s="31"/>
      <c r="AI180" s="41">
        <f t="shared" si="4"/>
        <v>-45036</v>
      </c>
    </row>
    <row r="181" spans="1:35" s="2" customFormat="1" ht="23.25" customHeight="1">
      <c r="A181" s="6" t="s">
        <v>347</v>
      </c>
      <c r="B181" s="11" t="s">
        <v>348</v>
      </c>
      <c r="C181" s="28" t="s">
        <v>28</v>
      </c>
      <c r="D181" s="11" t="s">
        <v>421</v>
      </c>
      <c r="E181" s="12"/>
      <c r="F181" s="30">
        <v>0</v>
      </c>
      <c r="G181" s="31">
        <v>0</v>
      </c>
      <c r="H181" s="31">
        <v>0</v>
      </c>
      <c r="I181" s="31">
        <v>0</v>
      </c>
      <c r="J181" s="31">
        <v>0</v>
      </c>
      <c r="K181" s="32"/>
      <c r="L181" s="33"/>
      <c r="M181" s="31" t="s">
        <v>387</v>
      </c>
      <c r="N181" s="31" t="s">
        <v>387</v>
      </c>
      <c r="O181" s="31"/>
      <c r="P181" s="34" t="s">
        <v>387</v>
      </c>
      <c r="Q181" s="31"/>
      <c r="R181" s="35" t="s">
        <v>387</v>
      </c>
      <c r="S181" s="31">
        <v>1385</v>
      </c>
      <c r="T181" s="31">
        <v>0</v>
      </c>
      <c r="U181" s="31"/>
      <c r="V181" s="36" t="s">
        <v>387</v>
      </c>
      <c r="W181" s="31"/>
      <c r="X181" s="37">
        <v>0</v>
      </c>
      <c r="Y181" s="31"/>
      <c r="Z181" s="37">
        <v>0</v>
      </c>
      <c r="AA181" s="31"/>
      <c r="AB181" s="38"/>
      <c r="AC181" s="31"/>
      <c r="AD181" s="39"/>
      <c r="AE181" s="39"/>
      <c r="AF181" s="39"/>
      <c r="AG181" s="39">
        <v>-273</v>
      </c>
      <c r="AH181" s="31"/>
      <c r="AI181" s="40">
        <f t="shared" si="4"/>
        <v>-273</v>
      </c>
    </row>
    <row r="182" spans="1:35" s="2" customFormat="1" ht="23.25" customHeight="1">
      <c r="A182" s="7" t="s">
        <v>349</v>
      </c>
      <c r="B182" s="14" t="s">
        <v>350</v>
      </c>
      <c r="C182" s="29" t="s">
        <v>28</v>
      </c>
      <c r="D182" s="15" t="s">
        <v>421</v>
      </c>
      <c r="E182" s="12"/>
      <c r="F182" s="31">
        <v>0</v>
      </c>
      <c r="G182" s="31">
        <v>0</v>
      </c>
      <c r="H182" s="31">
        <v>0</v>
      </c>
      <c r="I182" s="31">
        <v>0</v>
      </c>
      <c r="J182" s="31">
        <v>0</v>
      </c>
      <c r="K182" s="31"/>
      <c r="L182" s="31"/>
      <c r="M182" s="31" t="s">
        <v>387</v>
      </c>
      <c r="N182" s="31" t="s">
        <v>387</v>
      </c>
      <c r="O182" s="31"/>
      <c r="P182" s="31">
        <v>0</v>
      </c>
      <c r="Q182" s="31"/>
      <c r="R182" s="31">
        <v>465</v>
      </c>
      <c r="S182" s="31">
        <v>7861</v>
      </c>
      <c r="T182" s="31">
        <v>0</v>
      </c>
      <c r="U182" s="31"/>
      <c r="V182" s="31">
        <v>0</v>
      </c>
      <c r="W182" s="31"/>
      <c r="X182" s="31">
        <v>0</v>
      </c>
      <c r="Y182" s="31"/>
      <c r="Z182" s="31">
        <v>0</v>
      </c>
      <c r="AA182" s="31"/>
      <c r="AB182" s="38"/>
      <c r="AC182" s="31"/>
      <c r="AD182" s="31"/>
      <c r="AE182" s="31"/>
      <c r="AF182" s="31"/>
      <c r="AG182" s="31">
        <v>-14737</v>
      </c>
      <c r="AH182" s="31"/>
      <c r="AI182" s="41">
        <f t="shared" si="4"/>
        <v>-14737</v>
      </c>
    </row>
    <row r="183" spans="1:35" s="2" customFormat="1" ht="23.25" customHeight="1">
      <c r="A183" s="6" t="s">
        <v>351</v>
      </c>
      <c r="B183" s="11" t="s">
        <v>352</v>
      </c>
      <c r="C183" s="28" t="s">
        <v>28</v>
      </c>
      <c r="D183" s="11" t="s">
        <v>421</v>
      </c>
      <c r="E183" s="12"/>
      <c r="F183" s="30">
        <v>0</v>
      </c>
      <c r="G183" s="31">
        <v>0</v>
      </c>
      <c r="H183" s="31">
        <v>0</v>
      </c>
      <c r="I183" s="31">
        <v>0</v>
      </c>
      <c r="J183" s="31">
        <v>0</v>
      </c>
      <c r="K183" s="32"/>
      <c r="L183" s="33"/>
      <c r="M183" s="31" t="s">
        <v>387</v>
      </c>
      <c r="N183" s="31" t="s">
        <v>387</v>
      </c>
      <c r="O183" s="31"/>
      <c r="P183" s="34">
        <v>0</v>
      </c>
      <c r="Q183" s="31"/>
      <c r="R183" s="35">
        <v>211</v>
      </c>
      <c r="S183" s="31">
        <v>3573</v>
      </c>
      <c r="T183" s="31">
        <v>0</v>
      </c>
      <c r="U183" s="31"/>
      <c r="V183" s="36">
        <v>0</v>
      </c>
      <c r="W183" s="31"/>
      <c r="X183" s="37">
        <v>0</v>
      </c>
      <c r="Y183" s="31"/>
      <c r="Z183" s="37">
        <v>0</v>
      </c>
      <c r="AA183" s="31"/>
      <c r="AB183" s="38"/>
      <c r="AC183" s="31"/>
      <c r="AD183" s="39"/>
      <c r="AE183" s="39"/>
      <c r="AF183" s="39"/>
      <c r="AG183" s="39">
        <v>-4381</v>
      </c>
      <c r="AH183" s="31"/>
      <c r="AI183" s="40">
        <f t="shared" si="4"/>
        <v>-4381</v>
      </c>
    </row>
    <row r="184" spans="1:35" s="2" customFormat="1" ht="23.25" customHeight="1">
      <c r="A184" s="7" t="s">
        <v>425</v>
      </c>
      <c r="B184" s="14" t="s">
        <v>353</v>
      </c>
      <c r="C184" s="29" t="s">
        <v>28</v>
      </c>
      <c r="D184" s="15" t="s">
        <v>421</v>
      </c>
      <c r="E184" s="12"/>
      <c r="F184" s="31">
        <v>0</v>
      </c>
      <c r="G184" s="31">
        <v>0</v>
      </c>
      <c r="H184" s="31">
        <v>0</v>
      </c>
      <c r="I184" s="31">
        <v>0</v>
      </c>
      <c r="J184" s="31">
        <v>0</v>
      </c>
      <c r="K184" s="31"/>
      <c r="L184" s="31"/>
      <c r="M184" s="31" t="s">
        <v>387</v>
      </c>
      <c r="N184" s="31" t="s">
        <v>387</v>
      </c>
      <c r="O184" s="31"/>
      <c r="P184" s="31">
        <v>0</v>
      </c>
      <c r="Q184" s="31"/>
      <c r="R184" s="31">
        <v>186</v>
      </c>
      <c r="S184" s="31">
        <v>3140</v>
      </c>
      <c r="T184" s="31">
        <v>0</v>
      </c>
      <c r="U184" s="31"/>
      <c r="V184" s="31">
        <v>0</v>
      </c>
      <c r="W184" s="31"/>
      <c r="X184" s="31">
        <v>0</v>
      </c>
      <c r="Y184" s="31"/>
      <c r="Z184" s="31">
        <v>0</v>
      </c>
      <c r="AA184" s="31"/>
      <c r="AB184" s="38"/>
      <c r="AC184" s="31"/>
      <c r="AD184" s="31"/>
      <c r="AE184" s="31"/>
      <c r="AF184" s="31"/>
      <c r="AG184" s="31">
        <v>-17000</v>
      </c>
      <c r="AH184" s="31"/>
      <c r="AI184" s="41">
        <f t="shared" si="4"/>
        <v>-17000</v>
      </c>
    </row>
    <row r="185" spans="1:35" s="2" customFormat="1" ht="23.25" customHeight="1">
      <c r="A185" s="6" t="s">
        <v>354</v>
      </c>
      <c r="B185" s="11" t="s">
        <v>355</v>
      </c>
      <c r="C185" s="28" t="s">
        <v>28</v>
      </c>
      <c r="D185" s="11" t="s">
        <v>421</v>
      </c>
      <c r="E185" s="12"/>
      <c r="F185" s="30">
        <v>0</v>
      </c>
      <c r="G185" s="31">
        <v>0</v>
      </c>
      <c r="H185" s="31">
        <v>0</v>
      </c>
      <c r="I185" s="31">
        <v>0</v>
      </c>
      <c r="J185" s="31">
        <v>0</v>
      </c>
      <c r="K185" s="32"/>
      <c r="L185" s="33"/>
      <c r="M185" s="31" t="s">
        <v>387</v>
      </c>
      <c r="N185" s="31" t="s">
        <v>387</v>
      </c>
      <c r="O185" s="31"/>
      <c r="P185" s="34" t="s">
        <v>387</v>
      </c>
      <c r="Q185" s="31"/>
      <c r="R185" s="35" t="s">
        <v>387</v>
      </c>
      <c r="S185" s="31">
        <v>2078</v>
      </c>
      <c r="T185" s="31">
        <v>0</v>
      </c>
      <c r="U185" s="31"/>
      <c r="V185" s="36" t="s">
        <v>387</v>
      </c>
      <c r="W185" s="31"/>
      <c r="X185" s="37">
        <v>0</v>
      </c>
      <c r="Y185" s="31"/>
      <c r="Z185" s="37">
        <v>0</v>
      </c>
      <c r="AA185" s="31"/>
      <c r="AB185" s="38"/>
      <c r="AC185" s="31"/>
      <c r="AD185" s="39"/>
      <c r="AE185" s="39"/>
      <c r="AF185" s="39"/>
      <c r="AG185" s="39">
        <v>-813</v>
      </c>
      <c r="AH185" s="31"/>
      <c r="AI185" s="40">
        <f t="shared" si="4"/>
        <v>-813</v>
      </c>
    </row>
    <row r="186" spans="1:35" s="2" customFormat="1" ht="23.25" customHeight="1">
      <c r="A186" s="7" t="s">
        <v>356</v>
      </c>
      <c r="B186" s="14" t="s">
        <v>357</v>
      </c>
      <c r="C186" s="29" t="s">
        <v>28</v>
      </c>
      <c r="D186" s="15" t="s">
        <v>421</v>
      </c>
      <c r="E186" s="12"/>
      <c r="F186" s="31">
        <v>0</v>
      </c>
      <c r="G186" s="31">
        <v>0</v>
      </c>
      <c r="H186" s="31">
        <v>0</v>
      </c>
      <c r="I186" s="31">
        <v>0</v>
      </c>
      <c r="J186" s="31">
        <v>0</v>
      </c>
      <c r="K186" s="31"/>
      <c r="L186" s="31"/>
      <c r="M186" s="31" t="s">
        <v>387</v>
      </c>
      <c r="N186" s="31" t="s">
        <v>387</v>
      </c>
      <c r="O186" s="31"/>
      <c r="P186" s="31" t="s">
        <v>387</v>
      </c>
      <c r="Q186" s="31"/>
      <c r="R186" s="31" t="s">
        <v>387</v>
      </c>
      <c r="S186" s="31">
        <v>462</v>
      </c>
      <c r="T186" s="31">
        <v>0</v>
      </c>
      <c r="U186" s="31"/>
      <c r="V186" s="31" t="s">
        <v>387</v>
      </c>
      <c r="W186" s="31"/>
      <c r="X186" s="31">
        <v>0</v>
      </c>
      <c r="Y186" s="31"/>
      <c r="Z186" s="31">
        <v>0</v>
      </c>
      <c r="AA186" s="31"/>
      <c r="AB186" s="38"/>
      <c r="AC186" s="31"/>
      <c r="AD186" s="31"/>
      <c r="AE186" s="31"/>
      <c r="AF186" s="31"/>
      <c r="AG186" s="31">
        <v>0</v>
      </c>
      <c r="AH186" s="31"/>
      <c r="AI186" s="41">
        <f t="shared" si="4"/>
        <v>0</v>
      </c>
    </row>
    <row r="187" spans="1:35" s="2" customFormat="1" ht="23.25" customHeight="1">
      <c r="A187" s="6" t="s">
        <v>358</v>
      </c>
      <c r="B187" s="11" t="s">
        <v>359</v>
      </c>
      <c r="C187" s="28" t="s">
        <v>28</v>
      </c>
      <c r="D187" s="11" t="s">
        <v>421</v>
      </c>
      <c r="E187" s="12"/>
      <c r="F187" s="30">
        <v>0</v>
      </c>
      <c r="G187" s="31">
        <v>0</v>
      </c>
      <c r="H187" s="31">
        <v>0</v>
      </c>
      <c r="I187" s="31">
        <v>0</v>
      </c>
      <c r="J187" s="31">
        <v>0</v>
      </c>
      <c r="K187" s="32"/>
      <c r="L187" s="33"/>
      <c r="M187" s="31" t="s">
        <v>387</v>
      </c>
      <c r="N187" s="31" t="s">
        <v>387</v>
      </c>
      <c r="O187" s="31"/>
      <c r="P187" s="34" t="s">
        <v>387</v>
      </c>
      <c r="Q187" s="31"/>
      <c r="R187" s="35" t="s">
        <v>387</v>
      </c>
      <c r="S187" s="31">
        <v>2309</v>
      </c>
      <c r="T187" s="31">
        <v>0</v>
      </c>
      <c r="U187" s="31"/>
      <c r="V187" s="36" t="s">
        <v>387</v>
      </c>
      <c r="W187" s="31"/>
      <c r="X187" s="37">
        <v>0</v>
      </c>
      <c r="Y187" s="31"/>
      <c r="Z187" s="37">
        <v>0</v>
      </c>
      <c r="AA187" s="31"/>
      <c r="AB187" s="38"/>
      <c r="AC187" s="31"/>
      <c r="AD187" s="39"/>
      <c r="AE187" s="39"/>
      <c r="AF187" s="39"/>
      <c r="AG187" s="39">
        <v>-682</v>
      </c>
      <c r="AH187" s="31"/>
      <c r="AI187" s="40">
        <f t="shared" si="4"/>
        <v>-682</v>
      </c>
    </row>
    <row r="188" spans="1:35" s="2" customFormat="1" ht="23.25" customHeight="1">
      <c r="A188" s="7" t="s">
        <v>360</v>
      </c>
      <c r="B188" s="14" t="s">
        <v>361</v>
      </c>
      <c r="C188" s="29" t="s">
        <v>28</v>
      </c>
      <c r="D188" s="15" t="s">
        <v>421</v>
      </c>
      <c r="E188" s="12"/>
      <c r="F188" s="31">
        <v>0</v>
      </c>
      <c r="G188" s="31">
        <v>0</v>
      </c>
      <c r="H188" s="31">
        <v>0</v>
      </c>
      <c r="I188" s="31">
        <v>0</v>
      </c>
      <c r="J188" s="31">
        <v>0</v>
      </c>
      <c r="K188" s="31"/>
      <c r="L188" s="31"/>
      <c r="M188" s="31" t="s">
        <v>387</v>
      </c>
      <c r="N188" s="31" t="s">
        <v>387</v>
      </c>
      <c r="O188" s="31"/>
      <c r="P188" s="31" t="s">
        <v>387</v>
      </c>
      <c r="Q188" s="31"/>
      <c r="R188" s="31" t="s">
        <v>387</v>
      </c>
      <c r="S188" s="31">
        <v>3001</v>
      </c>
      <c r="T188" s="31">
        <v>0</v>
      </c>
      <c r="U188" s="31"/>
      <c r="V188" s="31" t="s">
        <v>387</v>
      </c>
      <c r="W188" s="31"/>
      <c r="X188" s="31">
        <v>0</v>
      </c>
      <c r="Y188" s="31"/>
      <c r="Z188" s="31">
        <v>0</v>
      </c>
      <c r="AA188" s="31"/>
      <c r="AB188" s="38"/>
      <c r="AC188" s="31"/>
      <c r="AD188" s="31"/>
      <c r="AE188" s="31"/>
      <c r="AF188" s="31"/>
      <c r="AG188" s="31">
        <v>-1627</v>
      </c>
      <c r="AH188" s="31"/>
      <c r="AI188" s="41">
        <f t="shared" si="4"/>
        <v>-1627</v>
      </c>
    </row>
    <row r="189" spans="1:35" s="2" customFormat="1" ht="23.25" customHeight="1">
      <c r="A189" s="6" t="s">
        <v>362</v>
      </c>
      <c r="B189" s="11" t="s">
        <v>363</v>
      </c>
      <c r="C189" s="28" t="s">
        <v>28</v>
      </c>
      <c r="D189" s="11" t="s">
        <v>421</v>
      </c>
      <c r="E189" s="12"/>
      <c r="F189" s="30">
        <v>0</v>
      </c>
      <c r="G189" s="31">
        <v>0</v>
      </c>
      <c r="H189" s="31">
        <v>0</v>
      </c>
      <c r="I189" s="31">
        <v>0</v>
      </c>
      <c r="J189" s="31">
        <v>0</v>
      </c>
      <c r="K189" s="32"/>
      <c r="L189" s="33"/>
      <c r="M189" s="31" t="s">
        <v>387</v>
      </c>
      <c r="N189" s="31" t="s">
        <v>387</v>
      </c>
      <c r="O189" s="31"/>
      <c r="P189" s="34" t="s">
        <v>387</v>
      </c>
      <c r="Q189" s="31"/>
      <c r="R189" s="35" t="s">
        <v>387</v>
      </c>
      <c r="S189" s="31">
        <v>3001</v>
      </c>
      <c r="T189" s="31">
        <v>0</v>
      </c>
      <c r="U189" s="31"/>
      <c r="V189" s="36" t="s">
        <v>387</v>
      </c>
      <c r="W189" s="31"/>
      <c r="X189" s="37">
        <v>0</v>
      </c>
      <c r="Y189" s="31"/>
      <c r="Z189" s="37">
        <v>0</v>
      </c>
      <c r="AA189" s="31"/>
      <c r="AB189" s="38"/>
      <c r="AC189" s="31"/>
      <c r="AD189" s="39"/>
      <c r="AE189" s="39"/>
      <c r="AF189" s="39"/>
      <c r="AG189" s="39">
        <v>-409</v>
      </c>
      <c r="AH189" s="31"/>
      <c r="AI189" s="40">
        <f t="shared" si="4"/>
        <v>-409</v>
      </c>
    </row>
    <row r="190" spans="1:35" s="2" customFormat="1" ht="23.25" customHeight="1">
      <c r="A190" s="7" t="s">
        <v>364</v>
      </c>
      <c r="B190" s="14" t="s">
        <v>365</v>
      </c>
      <c r="C190" s="29" t="s">
        <v>28</v>
      </c>
      <c r="D190" s="15" t="s">
        <v>421</v>
      </c>
      <c r="E190" s="12"/>
      <c r="F190" s="31">
        <v>0</v>
      </c>
      <c r="G190" s="31">
        <v>0</v>
      </c>
      <c r="H190" s="31">
        <v>0</v>
      </c>
      <c r="I190" s="31">
        <v>0</v>
      </c>
      <c r="J190" s="31">
        <v>0</v>
      </c>
      <c r="K190" s="31"/>
      <c r="L190" s="31"/>
      <c r="M190" s="31" t="s">
        <v>387</v>
      </c>
      <c r="N190" s="31" t="s">
        <v>387</v>
      </c>
      <c r="O190" s="31"/>
      <c r="P190" s="31" t="s">
        <v>387</v>
      </c>
      <c r="Q190" s="31"/>
      <c r="R190" s="31" t="s">
        <v>387</v>
      </c>
      <c r="S190" s="31">
        <v>0</v>
      </c>
      <c r="T190" s="31">
        <v>0</v>
      </c>
      <c r="U190" s="31"/>
      <c r="V190" s="31" t="s">
        <v>387</v>
      </c>
      <c r="W190" s="31"/>
      <c r="X190" s="31">
        <v>0</v>
      </c>
      <c r="Y190" s="31"/>
      <c r="Z190" s="31">
        <v>0</v>
      </c>
      <c r="AA190" s="31"/>
      <c r="AB190" s="38"/>
      <c r="AC190" s="31"/>
      <c r="AD190" s="31"/>
      <c r="AE190" s="31"/>
      <c r="AF190" s="31"/>
      <c r="AG190" s="31">
        <v>-9378</v>
      </c>
      <c r="AH190" s="31"/>
      <c r="AI190" s="41">
        <f t="shared" si="4"/>
        <v>-9378</v>
      </c>
    </row>
    <row r="191" spans="1:35" s="2" customFormat="1" ht="23.25" customHeight="1">
      <c r="A191" s="6" t="s">
        <v>366</v>
      </c>
      <c r="B191" s="11" t="s">
        <v>367</v>
      </c>
      <c r="C191" s="28" t="s">
        <v>28</v>
      </c>
      <c r="D191" s="11" t="s">
        <v>421</v>
      </c>
      <c r="E191" s="12"/>
      <c r="F191" s="30">
        <v>0</v>
      </c>
      <c r="G191" s="31">
        <v>0</v>
      </c>
      <c r="H191" s="31">
        <v>0</v>
      </c>
      <c r="I191" s="31">
        <v>0</v>
      </c>
      <c r="J191" s="31">
        <v>0</v>
      </c>
      <c r="K191" s="32"/>
      <c r="L191" s="33"/>
      <c r="M191" s="31" t="s">
        <v>387</v>
      </c>
      <c r="N191" s="31" t="s">
        <v>387</v>
      </c>
      <c r="O191" s="31"/>
      <c r="P191" s="34" t="s">
        <v>387</v>
      </c>
      <c r="Q191" s="31"/>
      <c r="R191" s="35" t="s">
        <v>387</v>
      </c>
      <c r="S191" s="31">
        <v>0</v>
      </c>
      <c r="T191" s="31">
        <v>0</v>
      </c>
      <c r="U191" s="31"/>
      <c r="V191" s="36" t="s">
        <v>387</v>
      </c>
      <c r="W191" s="31"/>
      <c r="X191" s="37">
        <v>0</v>
      </c>
      <c r="Y191" s="31"/>
      <c r="Z191" s="37">
        <v>0</v>
      </c>
      <c r="AA191" s="31"/>
      <c r="AB191" s="38"/>
      <c r="AC191" s="31"/>
      <c r="AD191" s="39"/>
      <c r="AE191" s="39"/>
      <c r="AF191" s="39"/>
      <c r="AG191" s="39"/>
      <c r="AH191" s="31"/>
      <c r="AI191" s="40">
        <f t="shared" si="4"/>
        <v>0</v>
      </c>
    </row>
    <row r="192" spans="1:35" s="2" customFormat="1" ht="23.25" customHeight="1">
      <c r="A192" s="7"/>
      <c r="B192" s="14"/>
      <c r="C192" s="29"/>
      <c r="D192" s="15"/>
      <c r="E192" s="12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 t="s">
        <v>387</v>
      </c>
      <c r="Q192" s="31"/>
      <c r="R192" s="31" t="s">
        <v>387</v>
      </c>
      <c r="S192" s="31"/>
      <c r="T192" s="31"/>
      <c r="U192" s="31"/>
      <c r="V192" s="31" t="s">
        <v>387</v>
      </c>
      <c r="W192" s="31"/>
      <c r="X192" s="31">
        <v>0</v>
      </c>
      <c r="Y192" s="31"/>
      <c r="Z192" s="31">
        <v>0</v>
      </c>
      <c r="AA192" s="31"/>
      <c r="AB192" s="38"/>
      <c r="AC192" s="31"/>
      <c r="AD192" s="31"/>
      <c r="AE192" s="31"/>
      <c r="AF192" s="31"/>
      <c r="AG192" s="31"/>
      <c r="AH192" s="31"/>
      <c r="AI192" s="41">
        <f t="shared" si="4"/>
        <v>0</v>
      </c>
    </row>
    <row r="193" spans="1:35" s="2" customFormat="1" ht="23.25" customHeight="1">
      <c r="A193" s="6"/>
      <c r="B193" s="11" t="s">
        <v>427</v>
      </c>
      <c r="C193" s="28" t="s">
        <v>28</v>
      </c>
      <c r="D193" s="11" t="s">
        <v>428</v>
      </c>
      <c r="E193" s="12"/>
      <c r="F193" s="30"/>
      <c r="G193" s="31"/>
      <c r="H193" s="31"/>
      <c r="I193" s="31"/>
      <c r="J193" s="31"/>
      <c r="K193" s="32"/>
      <c r="L193" s="33"/>
      <c r="M193" s="31"/>
      <c r="N193" s="31"/>
      <c r="O193" s="31"/>
      <c r="P193" s="34" t="s">
        <v>387</v>
      </c>
      <c r="Q193" s="31"/>
      <c r="R193" s="35" t="s">
        <v>387</v>
      </c>
      <c r="S193" s="31"/>
      <c r="T193" s="31"/>
      <c r="U193" s="31"/>
      <c r="V193" s="36" t="s">
        <v>387</v>
      </c>
      <c r="W193" s="31"/>
      <c r="X193" s="37"/>
      <c r="Y193" s="31"/>
      <c r="Z193" s="37"/>
      <c r="AA193" s="31"/>
      <c r="AB193" s="38"/>
      <c r="AC193" s="31"/>
      <c r="AD193" s="39"/>
      <c r="AE193" s="39"/>
      <c r="AF193" s="39"/>
      <c r="AG193" s="39">
        <v>-116392</v>
      </c>
      <c r="AH193" s="31"/>
      <c r="AI193" s="40">
        <v>2005933</v>
      </c>
    </row>
    <row r="194" spans="1:35" s="2" customFormat="1" ht="6.75" customHeight="1">
      <c r="A194" s="9"/>
      <c r="B194" s="8"/>
      <c r="C194" s="8"/>
      <c r="D194" s="8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8"/>
      <c r="AC194" s="31"/>
      <c r="AD194" s="31"/>
      <c r="AE194" s="31"/>
      <c r="AF194" s="31"/>
      <c r="AG194" s="31"/>
      <c r="AH194" s="31"/>
      <c r="AI194" s="41"/>
    </row>
    <row r="195" spans="1:35" s="2" customFormat="1" ht="23.25" customHeight="1">
      <c r="B195" s="10"/>
      <c r="C195" s="10"/>
      <c r="D195" s="24" t="s">
        <v>382</v>
      </c>
      <c r="E195" s="10"/>
      <c r="F195" s="42">
        <f>SUM(F9:F193)</f>
        <v>6283888.2250225684</v>
      </c>
      <c r="G195" s="43">
        <f>SUM(G9:G191)</f>
        <v>892493.15097723564</v>
      </c>
      <c r="H195" s="43">
        <f>SUM(H9:H191)</f>
        <v>-300549.20876165648</v>
      </c>
      <c r="I195" s="43">
        <f>SUM(I9:I191)</f>
        <v>-6095332</v>
      </c>
      <c r="J195" s="43">
        <f>SUM(J9:J191)</f>
        <v>11817441.09944826</v>
      </c>
      <c r="K195" s="43"/>
      <c r="L195" s="42">
        <f>SUM(L9:L193)</f>
        <v>22281416</v>
      </c>
      <c r="M195" s="43">
        <f>SUM(M9:M191)</f>
        <v>19409760</v>
      </c>
      <c r="N195" s="43">
        <f>SUM(N9:N191)</f>
        <v>18878678</v>
      </c>
      <c r="O195" s="43"/>
      <c r="P195" s="42">
        <f>SUM(P9:P193)</f>
        <v>7399625</v>
      </c>
      <c r="Q195" s="43"/>
      <c r="R195" s="42">
        <f>SUM(R9:R193)</f>
        <v>16574852</v>
      </c>
      <c r="S195" s="43">
        <f>SUM(S9:S191)</f>
        <v>81247108</v>
      </c>
      <c r="T195" s="43">
        <f>SUM(T9:T191)</f>
        <v>15857302.21371056</v>
      </c>
      <c r="U195" s="43"/>
      <c r="V195" s="42">
        <v>50000000</v>
      </c>
      <c r="W195" s="44"/>
      <c r="X195" s="42">
        <f>SUM(X9:X193)</f>
        <v>6751268</v>
      </c>
      <c r="Y195" s="44"/>
      <c r="Z195" s="42">
        <f>SUM(Z9:Z193)</f>
        <v>6624512</v>
      </c>
      <c r="AA195" s="31"/>
      <c r="AB195" s="45"/>
      <c r="AC195" s="45"/>
      <c r="AD195" s="42">
        <f t="shared" ref="AD195:AI195" si="5">SUM(AD9:AD193)</f>
        <v>0</v>
      </c>
      <c r="AE195" s="42">
        <f t="shared" si="5"/>
        <v>0</v>
      </c>
      <c r="AF195" s="42">
        <f t="shared" si="5"/>
        <v>0</v>
      </c>
      <c r="AG195" s="42">
        <f t="shared" si="5"/>
        <v>-64533741</v>
      </c>
      <c r="AH195" s="31">
        <f t="shared" si="5"/>
        <v>0</v>
      </c>
      <c r="AI195" s="42">
        <f t="shared" si="5"/>
        <v>173305024</v>
      </c>
    </row>
    <row r="196" spans="1:35" ht="26">
      <c r="AD196" s="27"/>
      <c r="AE196" s="27"/>
      <c r="AF196" s="27"/>
      <c r="AG196" s="27"/>
      <c r="AH196" s="27">
        <v>12185972164</v>
      </c>
    </row>
    <row r="197" spans="1:35" ht="81.75" customHeight="1">
      <c r="B197" s="148"/>
      <c r="C197" s="148"/>
      <c r="D197" s="148"/>
      <c r="E197" s="148"/>
      <c r="F197" s="148"/>
      <c r="G197" s="148"/>
      <c r="H197" s="148"/>
      <c r="I197" s="148"/>
      <c r="J197" s="148"/>
      <c r="K197" s="148"/>
      <c r="L197" s="148"/>
      <c r="M197" s="148"/>
      <c r="N197" s="148"/>
      <c r="O197" s="148"/>
      <c r="P197" s="148"/>
      <c r="Q197" s="148"/>
      <c r="R197" s="148"/>
      <c r="S197" s="148"/>
      <c r="T197" s="148"/>
      <c r="U197" s="148"/>
      <c r="V197" s="148"/>
      <c r="W197" s="148"/>
      <c r="X197" s="148"/>
      <c r="Y197" s="148"/>
      <c r="Z197" s="148"/>
    </row>
    <row r="199" spans="1:35">
      <c r="A199" s="1">
        <v>1</v>
      </c>
      <c r="B199" s="1">
        <v>2</v>
      </c>
    </row>
  </sheetData>
  <autoFilter ref="A8:AI191" xr:uid="{00000000-0009-0000-0000-000001000000}"/>
  <mergeCells count="16">
    <mergeCell ref="B197:Z197"/>
    <mergeCell ref="B4:D4"/>
    <mergeCell ref="F4:Z4"/>
    <mergeCell ref="AD4:AI4"/>
    <mergeCell ref="F6:F7"/>
    <mergeCell ref="L6:L7"/>
    <mergeCell ref="P6:P7"/>
    <mergeCell ref="R6:R7"/>
    <mergeCell ref="V6:V7"/>
    <mergeCell ref="X6:X7"/>
    <mergeCell ref="Z6:Z7"/>
    <mergeCell ref="AD6:AD7"/>
    <mergeCell ref="AE6:AE7"/>
    <mergeCell ref="AF6:AF7"/>
    <mergeCell ref="AG6:AG7"/>
    <mergeCell ref="AI6:AI7"/>
  </mergeCells>
  <pageMargins left="0.70866141732283472" right="0.70866141732283472" top="0.74803149606299213" bottom="0.39370078740157483" header="0.31496062992125984" footer="0.31496062992125984"/>
  <pageSetup paperSize="8" scale="38" fitToHeight="0" orientation="landscape" r:id="rId1"/>
  <headerFooter>
    <oddHeader>&amp;C&amp;G</oddHeader>
    <oddFooter>&amp;LDGESIP B2-2&amp;CCNESER - 12 décembre 2016&amp;R30-11-2016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184"/>
  <sheetViews>
    <sheetView showZeros="0" tabSelected="1" topLeftCell="J1" zoomScale="47" zoomScaleNormal="47" zoomScaleSheetLayoutView="55" workbookViewId="0">
      <selection activeCell="AB6" sqref="AB6"/>
    </sheetView>
  </sheetViews>
  <sheetFormatPr baseColWidth="10" defaultColWidth="11.5" defaultRowHeight="15"/>
  <cols>
    <col min="1" max="1" width="13.33203125" style="64" customWidth="1"/>
    <col min="2" max="2" width="36.5" style="64" customWidth="1"/>
    <col min="3" max="3" width="13.83203125" style="64" customWidth="1"/>
    <col min="4" max="4" width="21.33203125" style="64" customWidth="1"/>
    <col min="5" max="5" width="17.5" style="64" customWidth="1"/>
    <col min="6" max="6" width="17.1640625" style="64" customWidth="1"/>
    <col min="7" max="7" width="17" style="64" customWidth="1"/>
    <col min="8" max="8" width="16.83203125" style="64" customWidth="1"/>
    <col min="9" max="10" width="16.6640625" style="49" customWidth="1"/>
    <col min="11" max="11" width="16.83203125" style="49" customWidth="1"/>
    <col min="12" max="12" width="16.33203125" style="49" customWidth="1"/>
    <col min="13" max="13" width="16.83203125" style="49" customWidth="1"/>
    <col min="14" max="14" width="16.6640625" style="49" bestFit="1" customWidth="1"/>
    <col min="15" max="15" width="16.6640625" style="49" customWidth="1"/>
    <col min="16" max="16" width="24.83203125" style="49" customWidth="1"/>
    <col min="17" max="17" width="18.83203125" style="49" customWidth="1"/>
    <col min="18" max="18" width="14" style="49" customWidth="1"/>
    <col min="19" max="19" width="23.5" style="49" customWidth="1"/>
    <col min="20" max="20" width="22.5" style="49" customWidth="1"/>
    <col min="21" max="21" width="23" style="49" customWidth="1"/>
    <col min="22" max="22" width="24.5" style="49" customWidth="1"/>
    <col min="23" max="23" width="26.5" style="49" customWidth="1"/>
    <col min="24" max="24" width="26.33203125" style="49" customWidth="1"/>
    <col min="25" max="25" width="26.1640625" style="49" customWidth="1"/>
    <col min="26" max="26" width="25.33203125" style="49" customWidth="1"/>
    <col min="27" max="27" width="25" style="49" customWidth="1"/>
    <col min="28" max="28" width="28.1640625" style="49" customWidth="1"/>
    <col min="29" max="29" width="29.1640625" style="49" customWidth="1"/>
    <col min="30" max="30" width="14.83203125" style="49" customWidth="1"/>
    <col min="31" max="31" width="11.5" style="49"/>
    <col min="32" max="32" width="20" style="49" customWidth="1"/>
    <col min="33" max="33" width="25.33203125" style="49" customWidth="1"/>
    <col min="34" max="16384" width="11.5" style="49"/>
  </cols>
  <sheetData>
    <row r="1" spans="1:32">
      <c r="B1" s="65"/>
      <c r="C1" s="65"/>
      <c r="D1" s="65"/>
      <c r="E1" s="65"/>
      <c r="F1" s="65"/>
      <c r="G1" s="65"/>
      <c r="H1" s="6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2" ht="25">
      <c r="A2" s="65"/>
      <c r="B2" s="69"/>
      <c r="C2" s="66"/>
      <c r="D2" s="66"/>
      <c r="E2" s="66"/>
      <c r="F2" s="66"/>
      <c r="G2" s="66"/>
      <c r="H2" s="66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32">
      <c r="A3" s="65"/>
      <c r="B3" s="66"/>
      <c r="C3" s="66"/>
      <c r="D3" s="66"/>
      <c r="E3" s="66"/>
      <c r="F3" s="66"/>
      <c r="G3" s="66"/>
      <c r="H3" s="66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32" ht="51.75" customHeight="1" thickBot="1">
      <c r="A4" s="65"/>
      <c r="B4" s="157" t="s">
        <v>479</v>
      </c>
      <c r="C4" s="157"/>
      <c r="D4" s="157"/>
      <c r="E4" s="162" t="s">
        <v>570</v>
      </c>
      <c r="F4" s="163"/>
      <c r="G4" s="163"/>
      <c r="H4" s="163"/>
      <c r="I4" s="163"/>
      <c r="J4" s="163"/>
      <c r="K4" s="163"/>
      <c r="L4" s="163"/>
      <c r="M4" s="163"/>
      <c r="N4" s="59"/>
      <c r="O4" s="159" t="s">
        <v>571</v>
      </c>
      <c r="P4" s="160"/>
      <c r="Q4" s="161"/>
      <c r="R4" s="118">
        <v>6000</v>
      </c>
      <c r="S4" s="158" t="s">
        <v>572</v>
      </c>
      <c r="T4" s="158"/>
      <c r="U4" s="158"/>
      <c r="V4" s="158"/>
      <c r="W4" s="158"/>
      <c r="AB4" s="125" t="s">
        <v>582</v>
      </c>
      <c r="AC4" s="129">
        <v>0.06</v>
      </c>
    </row>
    <row r="5" spans="1:32" ht="178.5" customHeight="1" thickTop="1" thickBot="1">
      <c r="A5" s="50" t="s">
        <v>368</v>
      </c>
      <c r="B5" s="54" t="s">
        <v>466</v>
      </c>
      <c r="C5" s="54" t="s">
        <v>561</v>
      </c>
      <c r="D5" s="55" t="s">
        <v>470</v>
      </c>
      <c r="E5" s="70" t="s">
        <v>564</v>
      </c>
      <c r="F5" s="70" t="s">
        <v>563</v>
      </c>
      <c r="G5" s="70" t="s">
        <v>562</v>
      </c>
      <c r="H5" s="70" t="s">
        <v>568</v>
      </c>
      <c r="I5" s="70" t="s">
        <v>485</v>
      </c>
      <c r="J5" s="70" t="s">
        <v>569</v>
      </c>
      <c r="K5" s="70" t="s">
        <v>471</v>
      </c>
      <c r="L5" s="70" t="s">
        <v>538</v>
      </c>
      <c r="M5" s="71" t="s">
        <v>480</v>
      </c>
      <c r="N5" s="61" t="s">
        <v>467</v>
      </c>
      <c r="O5" s="74" t="s">
        <v>565</v>
      </c>
      <c r="P5" s="74" t="s">
        <v>566</v>
      </c>
      <c r="Q5" s="75" t="s">
        <v>481</v>
      </c>
      <c r="R5" s="120" t="s">
        <v>575</v>
      </c>
      <c r="S5" s="119" t="s">
        <v>383</v>
      </c>
      <c r="T5" s="77" t="s">
        <v>384</v>
      </c>
      <c r="U5" s="77" t="s">
        <v>483</v>
      </c>
      <c r="V5" s="77" t="s">
        <v>484</v>
      </c>
      <c r="W5" s="76" t="s">
        <v>482</v>
      </c>
      <c r="X5" s="49" t="s">
        <v>577</v>
      </c>
      <c r="Y5" s="126">
        <v>2020</v>
      </c>
      <c r="Z5" s="126" t="s">
        <v>579</v>
      </c>
      <c r="AA5" s="127" t="s">
        <v>580</v>
      </c>
      <c r="AB5" s="126" t="s">
        <v>578</v>
      </c>
      <c r="AC5" s="126" t="s">
        <v>581</v>
      </c>
      <c r="AF5" s="139" t="s">
        <v>583</v>
      </c>
    </row>
    <row r="6" spans="1:32" ht="27" customHeight="1" thickTop="1">
      <c r="A6" s="67" t="s">
        <v>13</v>
      </c>
      <c r="B6" s="72" t="s">
        <v>1</v>
      </c>
      <c r="C6" s="72" t="s">
        <v>0</v>
      </c>
      <c r="D6" s="72" t="s">
        <v>1</v>
      </c>
      <c r="E6" s="63">
        <v>9559</v>
      </c>
      <c r="F6" s="63">
        <v>198003</v>
      </c>
      <c r="G6" s="63">
        <v>2204952</v>
      </c>
      <c r="H6" s="63">
        <v>516097</v>
      </c>
      <c r="I6" s="63">
        <v>293000</v>
      </c>
      <c r="J6" s="81">
        <v>57778</v>
      </c>
      <c r="K6" s="63">
        <v>390382</v>
      </c>
      <c r="L6" s="63">
        <v>123333</v>
      </c>
      <c r="M6" s="68">
        <f>SUM(Tableau2[[#This Row],[LPR 2021 - repyramidage (agents ITRF)]:[Congé pour projet pédagogique 
EAP 2021]])</f>
        <v>3793104</v>
      </c>
      <c r="N6" s="59"/>
      <c r="O6" s="87">
        <v>1000000</v>
      </c>
      <c r="P6" s="87">
        <v>1197600</v>
      </c>
      <c r="Q6" s="89">
        <f>Tableau2[[#This Row],[AAP hybridation des formations (P.363)]]+P6</f>
        <v>2197600</v>
      </c>
      <c r="R6" s="91">
        <f>Tableau2[[#This Row],[TOTAL Plan de relance (P.363 et P.364)]]/$R$4</f>
        <v>366.26666666666665</v>
      </c>
      <c r="S6" s="57">
        <v>469173152</v>
      </c>
      <c r="T6" s="57">
        <v>43359696</v>
      </c>
      <c r="U6" s="57">
        <v>2994718</v>
      </c>
      <c r="V6" s="57">
        <v>600000</v>
      </c>
      <c r="W6" s="89">
        <f>SUM(Tableau2[[#This Row],[Masse salariale]:[Immobilier (sécurité, accessibilité, loyers, dévolution, Epaurif)]])</f>
        <v>516127566</v>
      </c>
      <c r="X6" s="122">
        <f>Tableau2[[#This Row],[Masse salariale]]+Tableau2[[#This Row],[Actions d''accompagnement ]]</f>
        <v>472167870</v>
      </c>
    </row>
    <row r="7" spans="1:32" s="52" customFormat="1" ht="23.25" customHeight="1">
      <c r="A7" s="67" t="s">
        <v>343</v>
      </c>
      <c r="B7" s="72" t="s">
        <v>505</v>
      </c>
      <c r="C7" s="72" t="s">
        <v>506</v>
      </c>
      <c r="D7" s="72" t="s">
        <v>507</v>
      </c>
      <c r="E7" s="63">
        <v>1462</v>
      </c>
      <c r="F7" s="63">
        <v>25102</v>
      </c>
      <c r="G7" s="63">
        <v>529628</v>
      </c>
      <c r="H7" s="63">
        <v>471334</v>
      </c>
      <c r="I7" s="63">
        <v>0</v>
      </c>
      <c r="J7" s="81">
        <v>463</v>
      </c>
      <c r="K7" s="63">
        <v>91774</v>
      </c>
      <c r="L7" s="63">
        <v>30000</v>
      </c>
      <c r="M7" s="68">
        <f>SUM(Tableau2[[#This Row],[LPR 2021 - repyramidage (agents ITRF)]:[Congé pour projet pédagogique 
EAP 2021]])</f>
        <v>1149763</v>
      </c>
      <c r="N7" s="59"/>
      <c r="O7" s="63"/>
      <c r="P7" s="63">
        <v>886400</v>
      </c>
      <c r="Q7" s="68">
        <f>Tableau2[[#This Row],[AAP hybridation des formations (P.363)]]+P7</f>
        <v>886400</v>
      </c>
      <c r="R7" s="63">
        <f>Tableau2[[#This Row],[TOTAL Plan de relance (P.363 et P.364)]]/$R$4</f>
        <v>147.73333333333332</v>
      </c>
      <c r="S7" s="63">
        <v>115678648</v>
      </c>
      <c r="T7" s="63">
        <v>12795076</v>
      </c>
      <c r="U7" s="56">
        <v>1012028</v>
      </c>
      <c r="V7" s="56">
        <v>300000</v>
      </c>
      <c r="W7" s="78">
        <f>SUM(Tableau2[[#This Row],[Masse salariale]:[Immobilier (sécurité, accessibilité, loyers, dévolution, Epaurif)]])</f>
        <v>129785752</v>
      </c>
      <c r="X7" s="122">
        <f>Tableau2[[#This Row],[Masse salariale]]+Tableau2[[#This Row],[Actions d''accompagnement ]]</f>
        <v>116690676</v>
      </c>
      <c r="Z7" s="124">
        <f>SUM(P6:P10)</f>
        <v>4134400</v>
      </c>
      <c r="AA7" s="49"/>
    </row>
    <row r="8" spans="1:32" ht="27" customHeight="1">
      <c r="A8" s="67" t="s">
        <v>310</v>
      </c>
      <c r="B8" s="72" t="s">
        <v>95</v>
      </c>
      <c r="C8" s="72" t="s">
        <v>94</v>
      </c>
      <c r="D8" s="72" t="s">
        <v>507</v>
      </c>
      <c r="E8" s="63">
        <v>1097</v>
      </c>
      <c r="F8" s="63">
        <v>19720</v>
      </c>
      <c r="G8" s="63">
        <v>311401</v>
      </c>
      <c r="H8" s="63">
        <v>74666</v>
      </c>
      <c r="I8" s="63">
        <v>0</v>
      </c>
      <c r="J8" s="81">
        <v>127</v>
      </c>
      <c r="K8" s="63">
        <v>50100</v>
      </c>
      <c r="L8" s="63">
        <v>16667</v>
      </c>
      <c r="M8" s="68">
        <f>SUM(Tableau2[[#This Row],[LPR 2021 - repyramidage (agents ITRF)]:[Congé pour projet pédagogique 
EAP 2021]])</f>
        <v>473778</v>
      </c>
      <c r="N8" s="59"/>
      <c r="O8" s="87"/>
      <c r="P8" s="87">
        <v>702400</v>
      </c>
      <c r="Q8" s="89">
        <f>Tableau2[[#This Row],[AAP hybridation des formations (P.363)]]+P8</f>
        <v>702400</v>
      </c>
      <c r="R8" s="91">
        <f>Tableau2[[#This Row],[TOTAL Plan de relance (P.363 et P.364)]]/$R$4</f>
        <v>117.06666666666666</v>
      </c>
      <c r="S8" s="57">
        <v>65975837</v>
      </c>
      <c r="T8" s="57">
        <v>5480171</v>
      </c>
      <c r="U8" s="57">
        <v>710064</v>
      </c>
      <c r="V8" s="57">
        <v>300000</v>
      </c>
      <c r="W8" s="89">
        <f>SUM(Tableau2[[#This Row],[Masse salariale]:[Immobilier (sécurité, accessibilité, loyers, dévolution, Epaurif)]])</f>
        <v>72466072</v>
      </c>
      <c r="X8" s="122">
        <f>Tableau2[[#This Row],[Masse salariale]]+Tableau2[[#This Row],[Actions d''accompagnement ]]</f>
        <v>66685901</v>
      </c>
      <c r="Z8" s="136">
        <f>Z7/Tableau2[[#Totals],[Places supplémentaires rentrée 2020 (financement année pleine 2021) (P.364)]]</f>
        <v>0.39854593968792262</v>
      </c>
    </row>
    <row r="9" spans="1:32" s="52" customFormat="1" ht="23.25" customHeight="1">
      <c r="A9" s="67" t="s">
        <v>39</v>
      </c>
      <c r="B9" s="72" t="s">
        <v>502</v>
      </c>
      <c r="C9" s="72" t="s">
        <v>503</v>
      </c>
      <c r="D9" s="72" t="s">
        <v>146</v>
      </c>
      <c r="E9" s="63">
        <v>3079</v>
      </c>
      <c r="F9" s="63">
        <v>56940</v>
      </c>
      <c r="G9" s="63">
        <v>847869</v>
      </c>
      <c r="H9" s="63">
        <v>629866</v>
      </c>
      <c r="I9" s="63">
        <v>449000</v>
      </c>
      <c r="J9" s="81">
        <v>300</v>
      </c>
      <c r="K9" s="63">
        <v>125310</v>
      </c>
      <c r="L9" s="63">
        <v>50000</v>
      </c>
      <c r="M9" s="68">
        <f>SUM(Tableau2[[#This Row],[LPR 2021 - repyramidage (agents ITRF)]:[Congé pour projet pédagogique 
EAP 2021]])</f>
        <v>2162364</v>
      </c>
      <c r="N9" s="59"/>
      <c r="O9" s="88"/>
      <c r="P9" s="88">
        <v>676000</v>
      </c>
      <c r="Q9" s="90">
        <f>Tableau2[[#This Row],[AAP hybridation des formations (P.363)]]+P9</f>
        <v>676000</v>
      </c>
      <c r="R9" s="63">
        <f>Tableau2[[#This Row],[TOTAL Plan de relance (P.363 et P.364)]]/$R$4</f>
        <v>112.66666666666667</v>
      </c>
      <c r="S9" s="63">
        <v>183003112</v>
      </c>
      <c r="T9" s="63">
        <v>16454904</v>
      </c>
      <c r="U9" s="56">
        <v>1111598</v>
      </c>
      <c r="V9" s="56">
        <v>500000</v>
      </c>
      <c r="W9" s="78">
        <f>SUM(Tableau2[[#This Row],[Masse salariale]:[Immobilier (sécurité, accessibilité, loyers, dévolution, Epaurif)]])</f>
        <v>201069614</v>
      </c>
      <c r="X9" s="122">
        <f>Tableau2[[#This Row],[Masse salariale]]+Tableau2[[#This Row],[Actions d''accompagnement ]]</f>
        <v>184114710</v>
      </c>
      <c r="AA9" s="49"/>
    </row>
    <row r="10" spans="1:32" ht="27" customHeight="1">
      <c r="A10" s="67"/>
      <c r="B10" s="72" t="s">
        <v>170</v>
      </c>
      <c r="C10" s="72" t="s">
        <v>169</v>
      </c>
      <c r="D10" s="72" t="s">
        <v>509</v>
      </c>
      <c r="E10" s="63">
        <v>2968</v>
      </c>
      <c r="F10" s="63">
        <v>56696</v>
      </c>
      <c r="G10" s="63">
        <v>789855</v>
      </c>
      <c r="H10" s="63">
        <v>272066</v>
      </c>
      <c r="I10" s="63">
        <v>360000</v>
      </c>
      <c r="J10" s="81">
        <v>36799</v>
      </c>
      <c r="K10" s="63">
        <v>146475</v>
      </c>
      <c r="L10" s="63">
        <v>50000</v>
      </c>
      <c r="M10" s="68">
        <f>SUM(Tableau2[[#This Row],[LPR 2021 - repyramidage (agents ITRF)]:[Congé pour projet pédagogique 
EAP 2021]])</f>
        <v>1714859</v>
      </c>
      <c r="N10" s="59"/>
      <c r="O10" s="45"/>
      <c r="P10" s="45">
        <v>672000</v>
      </c>
      <c r="Q10" s="79">
        <f>Tableau2[[#This Row],[AAP hybridation des formations (P.363)]]+P10</f>
        <v>672000</v>
      </c>
      <c r="R10" s="91">
        <f>Tableau2[[#This Row],[TOTAL Plan de relance (P.363 et P.364)]]/$R$4</f>
        <v>112</v>
      </c>
      <c r="S10" s="57">
        <v>184379115</v>
      </c>
      <c r="T10" s="57">
        <v>16945860</v>
      </c>
      <c r="U10" s="57">
        <v>2704589</v>
      </c>
      <c r="V10" s="57">
        <v>180000</v>
      </c>
      <c r="W10" s="89">
        <f>SUM(Tableau2[[#This Row],[Masse salariale]:[Immobilier (sécurité, accessibilité, loyers, dévolution, Epaurif)]])</f>
        <v>204209564</v>
      </c>
      <c r="X10" s="122">
        <f>Tableau2[[#This Row],[Masse salariale]]+Tableau2[[#This Row],[Actions d''accompagnement ]]</f>
        <v>187083704</v>
      </c>
      <c r="Z10" s="137">
        <f>P48+P31+P26+P101+P37+P137</f>
        <v>436800</v>
      </c>
    </row>
    <row r="11" spans="1:32" s="52" customFormat="1" ht="23.25" customHeight="1">
      <c r="A11" s="67"/>
      <c r="B11" s="72" t="s">
        <v>188</v>
      </c>
      <c r="C11" s="72" t="s">
        <v>187</v>
      </c>
      <c r="D11" s="72" t="s">
        <v>490</v>
      </c>
      <c r="E11" s="63">
        <v>2558</v>
      </c>
      <c r="F11" s="63">
        <v>50018</v>
      </c>
      <c r="G11" s="63">
        <v>823413</v>
      </c>
      <c r="H11" s="63">
        <v>248715</v>
      </c>
      <c r="I11" s="63">
        <v>221600</v>
      </c>
      <c r="J11" s="81">
        <v>19296</v>
      </c>
      <c r="K11" s="63">
        <v>142859</v>
      </c>
      <c r="L11" s="63">
        <v>46667</v>
      </c>
      <c r="M11" s="68">
        <f>SUM(Tableau2[[#This Row],[LPR 2021 - repyramidage (agents ITRF)]:[Congé pour projet pédagogique 
EAP 2021]])</f>
        <v>1555126</v>
      </c>
      <c r="N11" s="59"/>
      <c r="O11" s="88"/>
      <c r="P11" s="88">
        <v>400000</v>
      </c>
      <c r="Q11" s="90">
        <f>Tableau2[[#This Row],[AAP hybridation des formations (P.363)]]+P11</f>
        <v>400000</v>
      </c>
      <c r="R11" s="63">
        <f>Tableau2[[#This Row],[TOTAL Plan de relance (P.363 et P.364)]]/$R$4</f>
        <v>66.666666666666671</v>
      </c>
      <c r="S11" s="63">
        <v>166870682</v>
      </c>
      <c r="T11" s="63">
        <v>16146484</v>
      </c>
      <c r="U11" s="56">
        <v>561513</v>
      </c>
      <c r="V11" s="56">
        <v>450000</v>
      </c>
      <c r="W11" s="78">
        <f>SUM(Tableau2[[#This Row],[Masse salariale]:[Immobilier (sécurité, accessibilité, loyers, dévolution, Epaurif)]])</f>
        <v>184028679</v>
      </c>
      <c r="X11" s="122">
        <f>Tableau2[[#This Row],[Masse salariale]]+Tableau2[[#This Row],[Actions d''accompagnement ]]</f>
        <v>167432195</v>
      </c>
      <c r="Z11" s="138">
        <f>Z10/Tableau2[[#Totals],[Places supplémentaires rentrée 2020 (financement année pleine 2021) (P.364)]]</f>
        <v>4.2106440222446938E-2</v>
      </c>
      <c r="AA11" s="49"/>
    </row>
    <row r="12" spans="1:32" ht="27" customHeight="1">
      <c r="A12" s="67"/>
      <c r="B12" s="72" t="s">
        <v>184</v>
      </c>
      <c r="C12" s="72" t="s">
        <v>183</v>
      </c>
      <c r="D12" s="72" t="s">
        <v>489</v>
      </c>
      <c r="E12" s="63">
        <v>4267</v>
      </c>
      <c r="F12" s="63">
        <v>76031</v>
      </c>
      <c r="G12" s="63">
        <v>876520</v>
      </c>
      <c r="H12" s="63">
        <v>320479</v>
      </c>
      <c r="I12" s="63">
        <v>241000</v>
      </c>
      <c r="J12" s="81">
        <v>-18729</v>
      </c>
      <c r="K12" s="63">
        <v>156741</v>
      </c>
      <c r="L12" s="63">
        <v>53333</v>
      </c>
      <c r="M12" s="68">
        <f>SUM(Tableau2[[#This Row],[LPR 2021 - repyramidage (agents ITRF)]:[Congé pour projet pédagogique 
EAP 2021]])</f>
        <v>1709642</v>
      </c>
      <c r="N12" s="59"/>
      <c r="O12" s="45">
        <v>1000000</v>
      </c>
      <c r="P12" s="45">
        <v>380000</v>
      </c>
      <c r="Q12" s="79">
        <f>Tableau2[[#This Row],[AAP hybridation des formations (P.363)]]+P12</f>
        <v>1380000</v>
      </c>
      <c r="R12" s="91">
        <f>Tableau2[[#This Row],[TOTAL Plan de relance (P.363 et P.364)]]/$R$4</f>
        <v>230</v>
      </c>
      <c r="S12" s="57">
        <v>188512473</v>
      </c>
      <c r="T12" s="57">
        <v>20693201</v>
      </c>
      <c r="U12" s="57">
        <v>1975465</v>
      </c>
      <c r="V12" s="57">
        <v>325000</v>
      </c>
      <c r="W12" s="89">
        <f>SUM(Tableau2[[#This Row],[Masse salariale]:[Immobilier (sécurité, accessibilité, loyers, dévolution, Epaurif)]])</f>
        <v>211506139</v>
      </c>
      <c r="X12" s="122">
        <f>Tableau2[[#This Row],[Masse salariale]]+Tableau2[[#This Row],[Actions d''accompagnement ]]</f>
        <v>190487938</v>
      </c>
    </row>
    <row r="13" spans="1:32" s="52" customFormat="1" ht="23.25" customHeight="1">
      <c r="A13" s="67"/>
      <c r="B13" s="72" t="s">
        <v>205</v>
      </c>
      <c r="C13" s="72" t="s">
        <v>204</v>
      </c>
      <c r="D13" s="72" t="s">
        <v>521</v>
      </c>
      <c r="E13" s="63">
        <v>2523</v>
      </c>
      <c r="F13" s="63">
        <v>51487</v>
      </c>
      <c r="G13" s="63">
        <v>748068</v>
      </c>
      <c r="H13" s="63">
        <v>172348</v>
      </c>
      <c r="I13" s="63">
        <v>354667</v>
      </c>
      <c r="J13" s="81">
        <v>452</v>
      </c>
      <c r="K13" s="63">
        <v>122012</v>
      </c>
      <c r="L13" s="63">
        <v>43333</v>
      </c>
      <c r="M13" s="68">
        <f>SUM(Tableau2[[#This Row],[LPR 2021 - repyramidage (agents ITRF)]:[Congé pour projet pédagogique 
EAP 2021]])</f>
        <v>1494890</v>
      </c>
      <c r="N13" s="59"/>
      <c r="O13" s="88"/>
      <c r="P13" s="88">
        <v>380000</v>
      </c>
      <c r="Q13" s="90">
        <f>Tableau2[[#This Row],[AAP hybridation des formations (P.363)]]+P13</f>
        <v>380000</v>
      </c>
      <c r="R13" s="91">
        <f>Tableau2[[#This Row],[TOTAL Plan de relance (P.363 et P.364)]]/$R$4</f>
        <v>63.333333333333336</v>
      </c>
      <c r="S13" s="63">
        <v>150920374</v>
      </c>
      <c r="T13" s="63">
        <v>14718415</v>
      </c>
      <c r="U13" s="56">
        <v>675969</v>
      </c>
      <c r="V13" s="56">
        <v>420000</v>
      </c>
      <c r="W13" s="78">
        <f>SUM(Tableau2[[#This Row],[Masse salariale]:[Immobilier (sécurité, accessibilité, loyers, dévolution, Epaurif)]])</f>
        <v>166734758</v>
      </c>
      <c r="X13" s="122">
        <f>Tableau2[[#This Row],[Masse salariale]]+Tableau2[[#This Row],[Actions d''accompagnement ]]</f>
        <v>151596343</v>
      </c>
      <c r="Z13" s="49"/>
      <c r="AA13" s="49"/>
    </row>
    <row r="14" spans="1:32" ht="27" customHeight="1">
      <c r="A14" s="67" t="s">
        <v>177</v>
      </c>
      <c r="B14" s="72" t="s">
        <v>526</v>
      </c>
      <c r="C14" s="72" t="s">
        <v>116</v>
      </c>
      <c r="D14" s="72" t="s">
        <v>526</v>
      </c>
      <c r="E14" s="63">
        <v>2372</v>
      </c>
      <c r="F14" s="63">
        <v>34798</v>
      </c>
      <c r="G14" s="63">
        <v>362894</v>
      </c>
      <c r="H14" s="63">
        <v>948783</v>
      </c>
      <c r="I14" s="63">
        <v>489000</v>
      </c>
      <c r="J14" s="81">
        <v>286</v>
      </c>
      <c r="K14" s="63">
        <v>85310</v>
      </c>
      <c r="L14" s="63">
        <v>20000</v>
      </c>
      <c r="M14" s="68">
        <f>SUM(Tableau2[[#This Row],[LPR 2021 - repyramidage (agents ITRF)]:[Congé pour projet pédagogique 
EAP 2021]])</f>
        <v>1943443</v>
      </c>
      <c r="N14" s="59"/>
      <c r="O14" s="87"/>
      <c r="P14" s="87">
        <v>320000</v>
      </c>
      <c r="Q14" s="89">
        <f>Tableau2[[#This Row],[AAP hybridation des formations (P.363)]]+P14</f>
        <v>320000</v>
      </c>
      <c r="R14" s="91">
        <f>Tableau2[[#This Row],[TOTAL Plan de relance (P.363 et P.364)]]/$R$4</f>
        <v>53.333333333333336</v>
      </c>
      <c r="S14" s="57">
        <v>96328291</v>
      </c>
      <c r="T14" s="57">
        <v>8547208</v>
      </c>
      <c r="U14" s="57">
        <v>433385</v>
      </c>
      <c r="V14" s="57">
        <v>250000</v>
      </c>
      <c r="W14" s="89">
        <f>SUM(Tableau2[[#This Row],[Masse salariale]:[Immobilier (sécurité, accessibilité, loyers, dévolution, Epaurif)]])</f>
        <v>105558884</v>
      </c>
      <c r="X14" s="122">
        <f>Tableau2[[#This Row],[Masse salariale]]+Tableau2[[#This Row],[Actions d''accompagnement ]]</f>
        <v>96761676</v>
      </c>
    </row>
    <row r="15" spans="1:32" s="52" customFormat="1" ht="23.25" customHeight="1">
      <c r="A15" s="67"/>
      <c r="B15" s="72" t="s">
        <v>534</v>
      </c>
      <c r="C15" s="72" t="s">
        <v>535</v>
      </c>
      <c r="D15" s="72" t="s">
        <v>507</v>
      </c>
      <c r="E15" s="63">
        <v>5013</v>
      </c>
      <c r="F15" s="63">
        <v>103152</v>
      </c>
      <c r="G15" s="63">
        <v>1199159</v>
      </c>
      <c r="H15" s="63">
        <v>408534</v>
      </c>
      <c r="I15" s="63">
        <v>181000</v>
      </c>
      <c r="J15" s="81">
        <v>-75933</v>
      </c>
      <c r="K15" s="63">
        <v>202805</v>
      </c>
      <c r="L15" s="63">
        <v>70000</v>
      </c>
      <c r="M15" s="68">
        <f>SUM(Tableau2[[#This Row],[LPR 2021 - repyramidage (agents ITRF)]:[Congé pour projet pédagogique 
EAP 2021]])</f>
        <v>2093730</v>
      </c>
      <c r="N15" s="59"/>
      <c r="O15" s="103"/>
      <c r="P15" s="103">
        <v>310400</v>
      </c>
      <c r="Q15" s="73">
        <f>Tableau2[[#This Row],[AAP hybridation des formations (P.363)]]+P15</f>
        <v>310400</v>
      </c>
      <c r="R15" s="63">
        <f>Tableau2[[#This Row],[TOTAL Plan de relance (P.363 et P.364)]]/$R$4</f>
        <v>51.733333333333334</v>
      </c>
      <c r="S15" s="63">
        <v>259927602</v>
      </c>
      <c r="T15" s="63">
        <v>29830944</v>
      </c>
      <c r="U15" s="56">
        <v>957192</v>
      </c>
      <c r="V15" s="56">
        <v>290000</v>
      </c>
      <c r="W15" s="78">
        <f>SUM(Tableau2[[#This Row],[Masse salariale]:[Immobilier (sécurité, accessibilité, loyers, dévolution, Epaurif)]])</f>
        <v>291005738</v>
      </c>
      <c r="X15" s="122">
        <f>Tableau2[[#This Row],[Masse salariale]]+Tableau2[[#This Row],[Actions d''accompagnement ]]</f>
        <v>260884794</v>
      </c>
      <c r="Z15" s="49"/>
      <c r="AA15" s="49"/>
    </row>
    <row r="16" spans="1:32" ht="27" customHeight="1">
      <c r="A16" s="67" t="s">
        <v>31</v>
      </c>
      <c r="B16" s="72" t="s">
        <v>32</v>
      </c>
      <c r="C16" s="72" t="s">
        <v>31</v>
      </c>
      <c r="D16" s="72" t="s">
        <v>490</v>
      </c>
      <c r="E16" s="63">
        <v>3149</v>
      </c>
      <c r="F16" s="63">
        <v>66614</v>
      </c>
      <c r="G16" s="63">
        <v>860077</v>
      </c>
      <c r="H16" s="63">
        <v>151377</v>
      </c>
      <c r="I16" s="63">
        <v>576000</v>
      </c>
      <c r="J16" s="81">
        <v>621</v>
      </c>
      <c r="K16" s="63">
        <v>155067</v>
      </c>
      <c r="L16" s="63">
        <v>50000</v>
      </c>
      <c r="M16" s="68">
        <f>SUM(Tableau2[[#This Row],[LPR 2021 - repyramidage (agents ITRF)]:[Congé pour projet pédagogique 
EAP 2021]])</f>
        <v>1862905</v>
      </c>
      <c r="N16" s="59"/>
      <c r="O16" s="100">
        <v>1000000</v>
      </c>
      <c r="P16" s="100">
        <v>296000</v>
      </c>
      <c r="Q16" s="101">
        <f>Tableau2[[#This Row],[AAP hybridation des formations (P.363)]]+P16</f>
        <v>1296000</v>
      </c>
      <c r="R16" s="91">
        <f>Tableau2[[#This Row],[TOTAL Plan de relance (P.363 et P.364)]]/$R$4</f>
        <v>216</v>
      </c>
      <c r="S16" s="57">
        <v>176948229</v>
      </c>
      <c r="T16" s="57">
        <v>15090708</v>
      </c>
      <c r="U16" s="57">
        <v>1350331</v>
      </c>
      <c r="V16" s="57">
        <v>500000</v>
      </c>
      <c r="W16" s="89">
        <f>SUM(Tableau2[[#This Row],[Masse salariale]:[Immobilier (sécurité, accessibilité, loyers, dévolution, Epaurif)]])</f>
        <v>193889268</v>
      </c>
      <c r="X16" s="122">
        <f>Tableau2[[#This Row],[Masse salariale]]+Tableau2[[#This Row],[Actions d''accompagnement ]]</f>
        <v>178298560</v>
      </c>
    </row>
    <row r="17" spans="1:34" s="52" customFormat="1" ht="23.25" customHeight="1">
      <c r="A17" s="67" t="s">
        <v>226</v>
      </c>
      <c r="B17" s="72" t="s">
        <v>18</v>
      </c>
      <c r="C17" s="72" t="s">
        <v>17</v>
      </c>
      <c r="D17" s="72" t="s">
        <v>18</v>
      </c>
      <c r="E17" s="63">
        <v>7112</v>
      </c>
      <c r="F17" s="63">
        <v>160248</v>
      </c>
      <c r="G17" s="63">
        <v>1336375</v>
      </c>
      <c r="H17" s="63">
        <v>132800</v>
      </c>
      <c r="I17" s="63">
        <v>317000</v>
      </c>
      <c r="J17" s="81">
        <v>212336</v>
      </c>
      <c r="K17" s="63">
        <v>303396</v>
      </c>
      <c r="L17" s="63">
        <v>83333</v>
      </c>
      <c r="M17" s="68">
        <f>SUM(Tableau2[[#This Row],[LPR 2021 - repyramidage (agents ITRF)]:[Congé pour projet pédagogique 
EAP 2021]])</f>
        <v>2552600</v>
      </c>
      <c r="N17" s="59"/>
      <c r="O17" s="88"/>
      <c r="P17" s="88">
        <v>264000</v>
      </c>
      <c r="Q17" s="90">
        <f>Tableau2[[#This Row],[AAP hybridation des formations (P.363)]]+P17</f>
        <v>264000</v>
      </c>
      <c r="R17" s="91">
        <f>Tableau2[[#This Row],[TOTAL Plan de relance (P.363 et P.364)]]/$R$4</f>
        <v>44</v>
      </c>
      <c r="S17" s="63">
        <v>307541952</v>
      </c>
      <c r="T17" s="63">
        <v>31180215</v>
      </c>
      <c r="U17" s="56">
        <v>783592</v>
      </c>
      <c r="V17" s="56">
        <v>600000</v>
      </c>
      <c r="W17" s="78">
        <f>SUM(Tableau2[[#This Row],[Masse salariale]:[Immobilier (sécurité, accessibilité, loyers, dévolution, Epaurif)]])</f>
        <v>340105759</v>
      </c>
      <c r="X17" s="122">
        <f>Tableau2[[#This Row],[Masse salariale]]+Tableau2[[#This Row],[Actions d''accompagnement ]]</f>
        <v>308325544</v>
      </c>
      <c r="Z17" s="49"/>
      <c r="AA17" s="49"/>
    </row>
    <row r="18" spans="1:34" ht="27" customHeight="1">
      <c r="A18" s="67" t="s">
        <v>17</v>
      </c>
      <c r="B18" s="72" t="s">
        <v>23</v>
      </c>
      <c r="C18" s="72" t="s">
        <v>22</v>
      </c>
      <c r="D18" s="72" t="s">
        <v>489</v>
      </c>
      <c r="E18" s="63">
        <v>2140</v>
      </c>
      <c r="F18" s="63">
        <v>46275</v>
      </c>
      <c r="G18" s="63">
        <v>712884</v>
      </c>
      <c r="H18" s="63">
        <v>101307</v>
      </c>
      <c r="I18" s="63">
        <v>105000</v>
      </c>
      <c r="J18" s="81">
        <v>-17414</v>
      </c>
      <c r="K18" s="63">
        <v>129353</v>
      </c>
      <c r="L18" s="63">
        <v>43333</v>
      </c>
      <c r="M18" s="68">
        <f>SUM(Tableau2[[#This Row],[LPR 2021 - repyramidage (agents ITRF)]:[Congé pour projet pédagogique 
EAP 2021]])</f>
        <v>1122878</v>
      </c>
      <c r="N18" s="59"/>
      <c r="O18" s="100">
        <v>1000000</v>
      </c>
      <c r="P18" s="100">
        <v>254000</v>
      </c>
      <c r="Q18" s="101">
        <f>Tableau2[[#This Row],[AAP hybridation des formations (P.363)]]+P18</f>
        <v>1254000</v>
      </c>
      <c r="R18" s="91">
        <f>Tableau2[[#This Row],[TOTAL Plan de relance (P.363 et P.364)]]/$R$4</f>
        <v>209</v>
      </c>
      <c r="S18" s="57">
        <v>138146144</v>
      </c>
      <c r="T18" s="57">
        <v>13932586</v>
      </c>
      <c r="U18" s="57">
        <v>1393917</v>
      </c>
      <c r="V18" s="57">
        <v>325000</v>
      </c>
      <c r="W18" s="89">
        <f>SUM(Tableau2[[#This Row],[Masse salariale]:[Immobilier (sécurité, accessibilité, loyers, dévolution, Epaurif)]])</f>
        <v>153797647</v>
      </c>
      <c r="X18" s="122">
        <f>Tableau2[[#This Row],[Masse salariale]]+Tableau2[[#This Row],[Actions d''accompagnement ]]</f>
        <v>139540061</v>
      </c>
    </row>
    <row r="19" spans="1:34" s="52" customFormat="1" ht="23.25" customHeight="1">
      <c r="A19" s="67" t="s">
        <v>284</v>
      </c>
      <c r="B19" s="72" t="s">
        <v>119</v>
      </c>
      <c r="C19" s="72" t="s">
        <v>118</v>
      </c>
      <c r="D19" s="72" t="s">
        <v>178</v>
      </c>
      <c r="E19" s="63">
        <v>990</v>
      </c>
      <c r="F19" s="63">
        <v>21366</v>
      </c>
      <c r="G19" s="63">
        <v>272921</v>
      </c>
      <c r="H19" s="63">
        <v>71733</v>
      </c>
      <c r="I19" s="63">
        <v>0</v>
      </c>
      <c r="J19" s="81">
        <v>48181</v>
      </c>
      <c r="K19" s="63">
        <v>53285</v>
      </c>
      <c r="L19" s="63">
        <v>13333</v>
      </c>
      <c r="M19" s="68">
        <f>SUM(Tableau2[[#This Row],[LPR 2021 - repyramidage (agents ITRF)]:[Congé pour projet pédagogique 
EAP 2021]])</f>
        <v>481809</v>
      </c>
      <c r="N19" s="59"/>
      <c r="O19" s="88"/>
      <c r="P19" s="88">
        <v>216000</v>
      </c>
      <c r="Q19" s="90">
        <f>Tableau2[[#This Row],[AAP hybridation des formations (P.363)]]+P19</f>
        <v>216000</v>
      </c>
      <c r="R19" s="63">
        <f>Tableau2[[#This Row],[TOTAL Plan de relance (P.363 et P.364)]]/$R$4</f>
        <v>36</v>
      </c>
      <c r="S19" s="63">
        <v>57041455</v>
      </c>
      <c r="T19" s="63">
        <v>3672913</v>
      </c>
      <c r="U19" s="56">
        <v>250092</v>
      </c>
      <c r="V19" s="56">
        <v>325000</v>
      </c>
      <c r="W19" s="78">
        <f>SUM(Tableau2[[#This Row],[Masse salariale]:[Immobilier (sécurité, accessibilité, loyers, dévolution, Epaurif)]])</f>
        <v>61289460</v>
      </c>
      <c r="X19" s="122">
        <f>Tableau2[[#This Row],[Masse salariale]]+Tableau2[[#This Row],[Actions d''accompagnement ]]</f>
        <v>57291547</v>
      </c>
      <c r="Z19" s="49"/>
      <c r="AA19" s="49"/>
    </row>
    <row r="20" spans="1:34" ht="27" customHeight="1">
      <c r="A20" s="67" t="s">
        <v>110</v>
      </c>
      <c r="B20" s="72" t="s">
        <v>142</v>
      </c>
      <c r="C20" s="72" t="s">
        <v>141</v>
      </c>
      <c r="D20" s="72" t="s">
        <v>194</v>
      </c>
      <c r="E20" s="63">
        <v>1372</v>
      </c>
      <c r="F20" s="63">
        <v>20382</v>
      </c>
      <c r="G20" s="63">
        <v>372651</v>
      </c>
      <c r="H20" s="63">
        <v>202666</v>
      </c>
      <c r="I20" s="63">
        <v>0</v>
      </c>
      <c r="J20" s="81">
        <v>282</v>
      </c>
      <c r="K20" s="63">
        <v>51686</v>
      </c>
      <c r="L20" s="63">
        <v>20000</v>
      </c>
      <c r="M20" s="68">
        <f>SUM(Tableau2[[#This Row],[LPR 2021 - repyramidage (agents ITRF)]:[Congé pour projet pédagogique 
EAP 2021]])</f>
        <v>669039</v>
      </c>
      <c r="N20" s="59"/>
      <c r="O20" s="87"/>
      <c r="P20" s="87">
        <v>212000</v>
      </c>
      <c r="Q20" s="89">
        <f>Tableau2[[#This Row],[AAP hybridation des formations (P.363)]]+P20</f>
        <v>212000</v>
      </c>
      <c r="R20" s="91">
        <f>Tableau2[[#This Row],[TOTAL Plan de relance (P.363 et P.364)]]/$R$4</f>
        <v>35.333333333333336</v>
      </c>
      <c r="S20" s="57">
        <v>68927897</v>
      </c>
      <c r="T20" s="57">
        <v>6553505</v>
      </c>
      <c r="U20" s="57">
        <v>302772</v>
      </c>
      <c r="V20" s="57">
        <v>260000</v>
      </c>
      <c r="W20" s="89">
        <f>SUM(Tableau2[[#This Row],[Masse salariale]:[Immobilier (sécurité, accessibilité, loyers, dévolution, Epaurif)]])</f>
        <v>76044174</v>
      </c>
      <c r="X20" s="122">
        <f>Tableau2[[#This Row],[Masse salariale]]+Tableau2[[#This Row],[Actions d''accompagnement ]]</f>
        <v>69230669</v>
      </c>
    </row>
    <row r="21" spans="1:34" s="52" customFormat="1" ht="23.25" customHeight="1">
      <c r="A21" s="67" t="s">
        <v>24</v>
      </c>
      <c r="B21" s="72" t="s">
        <v>140</v>
      </c>
      <c r="C21" s="72" t="s">
        <v>139</v>
      </c>
      <c r="D21" s="72" t="s">
        <v>138</v>
      </c>
      <c r="E21" s="63">
        <v>1903</v>
      </c>
      <c r="F21" s="63">
        <v>36849</v>
      </c>
      <c r="G21" s="63">
        <v>458813</v>
      </c>
      <c r="H21" s="63">
        <v>253899</v>
      </c>
      <c r="I21" s="63">
        <v>90666.999999999884</v>
      </c>
      <c r="J21" s="81">
        <v>18517</v>
      </c>
      <c r="K21" s="63">
        <v>74466</v>
      </c>
      <c r="L21" s="63">
        <v>23333</v>
      </c>
      <c r="M21" s="68">
        <f>SUM(Tableau2[[#This Row],[LPR 2021 - repyramidage (agents ITRF)]:[Congé pour projet pédagogique 
EAP 2021]])</f>
        <v>958446.99999999988</v>
      </c>
      <c r="N21" s="59"/>
      <c r="O21" s="88"/>
      <c r="P21" s="88">
        <v>200000</v>
      </c>
      <c r="Q21" s="90">
        <f>Tableau2[[#This Row],[AAP hybridation des formations (P.363)]]+P21</f>
        <v>200000</v>
      </c>
      <c r="R21" s="91">
        <f>Tableau2[[#This Row],[TOTAL Plan de relance (P.363 et P.364)]]/$R$4</f>
        <v>33.333333333333336</v>
      </c>
      <c r="S21" s="63">
        <v>86256235</v>
      </c>
      <c r="T21" s="63">
        <v>8336994</v>
      </c>
      <c r="U21" s="56">
        <v>309989</v>
      </c>
      <c r="V21" s="56">
        <v>0</v>
      </c>
      <c r="W21" s="78">
        <f>SUM(Tableau2[[#This Row],[Masse salariale]:[Immobilier (sécurité, accessibilité, loyers, dévolution, Epaurif)]])</f>
        <v>94903218</v>
      </c>
      <c r="X21" s="122">
        <f>Tableau2[[#This Row],[Masse salariale]]+Tableau2[[#This Row],[Actions d''accompagnement ]]</f>
        <v>86566224</v>
      </c>
      <c r="Z21" s="49"/>
      <c r="AA21" s="49"/>
    </row>
    <row r="22" spans="1:34" ht="27" customHeight="1">
      <c r="A22" s="67"/>
      <c r="B22" s="72" t="s">
        <v>176</v>
      </c>
      <c r="C22" s="72" t="s">
        <v>175</v>
      </c>
      <c r="D22" s="72" t="s">
        <v>138</v>
      </c>
      <c r="E22" s="63">
        <v>824</v>
      </c>
      <c r="F22" s="63">
        <v>21195</v>
      </c>
      <c r="G22" s="63">
        <v>312540</v>
      </c>
      <c r="H22" s="63">
        <v>132932</v>
      </c>
      <c r="I22" s="63">
        <v>85333.000000000102</v>
      </c>
      <c r="J22" s="81">
        <v>-17780</v>
      </c>
      <c r="K22" s="63">
        <v>47738</v>
      </c>
      <c r="L22" s="63">
        <v>16667</v>
      </c>
      <c r="M22" s="68">
        <f>SUM(Tableau2[[#This Row],[LPR 2021 - repyramidage (agents ITRF)]:[Congé pour projet pédagogique 
EAP 2021]])</f>
        <v>599449.00000000012</v>
      </c>
      <c r="N22" s="59"/>
      <c r="O22" s="45">
        <v>1000000</v>
      </c>
      <c r="P22" s="45">
        <v>192000</v>
      </c>
      <c r="Q22" s="79">
        <f>Tableau2[[#This Row],[AAP hybridation des formations (P.363)]]+P22</f>
        <v>1192000</v>
      </c>
      <c r="R22" s="91">
        <f>Tableau2[[#This Row],[TOTAL Plan de relance (P.363 et P.364)]]/$R$4</f>
        <v>198.66666666666666</v>
      </c>
      <c r="S22" s="57">
        <v>57035193</v>
      </c>
      <c r="T22" s="57">
        <v>4330274</v>
      </c>
      <c r="U22" s="57">
        <v>1212061</v>
      </c>
      <c r="V22" s="57">
        <v>275000</v>
      </c>
      <c r="W22" s="89">
        <f>SUM(Tableau2[[#This Row],[Masse salariale]:[Immobilier (sécurité, accessibilité, loyers, dévolution, Epaurif)]])</f>
        <v>62852528</v>
      </c>
      <c r="X22" s="122">
        <f>Tableau2[[#This Row],[Masse salariale]]+Tableau2[[#This Row],[Actions d''accompagnement ]]</f>
        <v>58247254</v>
      </c>
    </row>
    <row r="23" spans="1:34" s="52" customFormat="1" ht="23.25" customHeight="1">
      <c r="A23" s="67" t="s">
        <v>183</v>
      </c>
      <c r="B23" s="72" t="s">
        <v>130</v>
      </c>
      <c r="C23" s="72" t="s">
        <v>129</v>
      </c>
      <c r="D23" s="72" t="s">
        <v>497</v>
      </c>
      <c r="E23" s="63">
        <v>4885</v>
      </c>
      <c r="F23" s="63">
        <v>101675</v>
      </c>
      <c r="G23" s="63">
        <v>1176145</v>
      </c>
      <c r="H23" s="63">
        <v>303601</v>
      </c>
      <c r="I23" s="63">
        <v>966666.99999999907</v>
      </c>
      <c r="J23" s="81">
        <v>-17228</v>
      </c>
      <c r="K23" s="63">
        <v>237964</v>
      </c>
      <c r="L23" s="63">
        <v>76667</v>
      </c>
      <c r="M23" s="68">
        <f>SUM(Tableau2[[#This Row],[LPR 2021 - repyramidage (agents ITRF)]:[Congé pour projet pédagogique 
EAP 2021]])</f>
        <v>2850375.9999999991</v>
      </c>
      <c r="N23" s="59"/>
      <c r="O23" s="63"/>
      <c r="P23" s="63">
        <v>184000</v>
      </c>
      <c r="Q23" s="68">
        <f>Tableau2[[#This Row],[AAP hybridation des formations (P.363)]]+P23</f>
        <v>184000</v>
      </c>
      <c r="R23" s="63">
        <f>Tableau2[[#This Row],[TOTAL Plan de relance (P.363 et P.364)]]/$R$4</f>
        <v>30.666666666666668</v>
      </c>
      <c r="S23" s="63">
        <v>282802701</v>
      </c>
      <c r="T23" s="63">
        <v>23039676</v>
      </c>
      <c r="U23" s="56">
        <v>818584</v>
      </c>
      <c r="V23" s="56">
        <v>150000</v>
      </c>
      <c r="W23" s="78">
        <f>SUM(Tableau2[[#This Row],[Masse salariale]:[Immobilier (sécurité, accessibilité, loyers, dévolution, Epaurif)]])</f>
        <v>306810961</v>
      </c>
      <c r="X23" s="122">
        <f>Tableau2[[#This Row],[Masse salariale]]+Tableau2[[#This Row],[Actions d''accompagnement ]]</f>
        <v>283621285</v>
      </c>
      <c r="Z23" s="49"/>
      <c r="AA23" s="49"/>
    </row>
    <row r="24" spans="1:34" ht="27" customHeight="1">
      <c r="A24" s="67" t="s">
        <v>41</v>
      </c>
      <c r="B24" s="72" t="s">
        <v>40</v>
      </c>
      <c r="C24" s="72" t="s">
        <v>39</v>
      </c>
      <c r="D24" s="72" t="s">
        <v>493</v>
      </c>
      <c r="E24" s="63">
        <v>1490</v>
      </c>
      <c r="F24" s="63">
        <v>26708</v>
      </c>
      <c r="G24" s="63">
        <v>451487</v>
      </c>
      <c r="H24" s="63">
        <v>217700</v>
      </c>
      <c r="I24" s="63">
        <v>42666.999999999898</v>
      </c>
      <c r="J24" s="81">
        <v>320</v>
      </c>
      <c r="K24" s="63">
        <v>79766</v>
      </c>
      <c r="L24" s="63">
        <v>23333</v>
      </c>
      <c r="M24" s="68">
        <f>SUM(Tableau2[[#This Row],[LPR 2021 - repyramidage (agents ITRF)]:[Congé pour projet pédagogique 
EAP 2021]])</f>
        <v>843470.99999999988</v>
      </c>
      <c r="N24" s="59"/>
      <c r="O24" s="87"/>
      <c r="P24" s="87">
        <v>176000</v>
      </c>
      <c r="Q24" s="89">
        <f>Tableau2[[#This Row],[AAP hybridation des formations (P.363)]]+P24</f>
        <v>176000</v>
      </c>
      <c r="R24" s="91">
        <f>Tableau2[[#This Row],[TOTAL Plan de relance (P.363 et P.364)]]/$R$4</f>
        <v>29.333333333333332</v>
      </c>
      <c r="S24" s="57">
        <v>84274269</v>
      </c>
      <c r="T24" s="57">
        <v>8171603</v>
      </c>
      <c r="U24" s="57">
        <v>279574</v>
      </c>
      <c r="V24" s="57">
        <v>230000</v>
      </c>
      <c r="W24" s="89">
        <f>SUM(Tableau2[[#This Row],[Masse salariale]:[Immobilier (sécurité, accessibilité, loyers, dévolution, Epaurif)]])</f>
        <v>92955446</v>
      </c>
      <c r="X24" s="122">
        <f>Tableau2[[#This Row],[Masse salariale]]+Tableau2[[#This Row],[Actions d''accompagnement ]]</f>
        <v>84553843</v>
      </c>
    </row>
    <row r="25" spans="1:34" s="52" customFormat="1" ht="23.25" customHeight="1">
      <c r="A25" s="67" t="s">
        <v>288</v>
      </c>
      <c r="B25" s="72" t="s">
        <v>434</v>
      </c>
      <c r="C25" s="72" t="s">
        <v>446</v>
      </c>
      <c r="D25" s="72" t="s">
        <v>434</v>
      </c>
      <c r="E25" s="63">
        <v>9971</v>
      </c>
      <c r="F25" s="63">
        <v>185131</v>
      </c>
      <c r="G25" s="63">
        <v>2068581</v>
      </c>
      <c r="H25" s="63">
        <v>156093</v>
      </c>
      <c r="I25" s="63">
        <v>1166666.9999999991</v>
      </c>
      <c r="J25" s="81">
        <v>213263</v>
      </c>
      <c r="K25" s="63">
        <v>361995</v>
      </c>
      <c r="L25" s="63">
        <v>116667</v>
      </c>
      <c r="M25" s="68">
        <f>SUM(Tableau2[[#This Row],[LPR 2021 - repyramidage (agents ITRF)]:[Congé pour projet pédagogique 
EAP 2021]])</f>
        <v>4278367.9999999991</v>
      </c>
      <c r="N25" s="59"/>
      <c r="O25" s="63">
        <v>1000000</v>
      </c>
      <c r="P25" s="63">
        <v>174000</v>
      </c>
      <c r="Q25" s="68">
        <f>Tableau2[[#This Row],[AAP hybridation des formations (P.363)]]+P25</f>
        <v>1174000</v>
      </c>
      <c r="R25" s="63">
        <f>Tableau2[[#This Row],[TOTAL Plan de relance (P.363 et P.364)]]/$R$4</f>
        <v>195.66666666666666</v>
      </c>
      <c r="S25" s="63">
        <v>441940934</v>
      </c>
      <c r="T25" s="63">
        <v>38781711</v>
      </c>
      <c r="U25" s="56">
        <v>2195514</v>
      </c>
      <c r="V25" s="56">
        <v>325000</v>
      </c>
      <c r="W25" s="78">
        <f>SUM(Tableau2[[#This Row],[Masse salariale]:[Immobilier (sécurité, accessibilité, loyers, dévolution, Epaurif)]])</f>
        <v>483243159</v>
      </c>
      <c r="X25" s="122">
        <f>Tableau2[[#This Row],[Masse salariale]]+Tableau2[[#This Row],[Actions d''accompagnement ]]</f>
        <v>444136448</v>
      </c>
      <c r="Z25" s="49"/>
      <c r="AA25" s="49"/>
    </row>
    <row r="26" spans="1:34" ht="27" customHeight="1">
      <c r="A26" s="104" t="s">
        <v>3</v>
      </c>
      <c r="B26" s="105" t="s">
        <v>7</v>
      </c>
      <c r="C26" s="105" t="s">
        <v>6</v>
      </c>
      <c r="D26" s="105" t="s">
        <v>144</v>
      </c>
      <c r="E26" s="106">
        <v>2639</v>
      </c>
      <c r="F26" s="106">
        <v>39415</v>
      </c>
      <c r="G26" s="106">
        <v>542517</v>
      </c>
      <c r="H26" s="106">
        <v>139066</v>
      </c>
      <c r="I26" s="106">
        <v>248200</v>
      </c>
      <c r="J26" s="106">
        <v>462287</v>
      </c>
      <c r="K26" s="106">
        <v>82915</v>
      </c>
      <c r="L26" s="106">
        <v>30000</v>
      </c>
      <c r="M26" s="107">
        <f>SUM(Tableau2[[#This Row],[LPR 2021 - repyramidage (agents ITRF)]:[Congé pour projet pédagogique 
EAP 2021]])</f>
        <v>1547039</v>
      </c>
      <c r="N26" s="108">
        <f>2241224-Tableau2[[#This Row],[LPR 2021 - repyramidage (agents ITRF)]]-Tableau2[[#This Row],[LPR 2021 - refonte indemnitaire (agents BIATSS)]]-Tableau2[[#This Row],[LPR - refonte indemnitaire (EC et enseignants du second degré)]]-Tableau2[[#This Row],[Actualisations et mesures diverses : PUPH en surnombre, personnels de santé, astronomes et physiciens, soutiens divers…]]-Tableau2[[#This Row],[Compensation
de la mise en œuvre 
du  PPCR]]-Tableau2[[#This Row],[Congé pour projet pédagogique 
EAP 2021]]</f>
        <v>1081451</v>
      </c>
      <c r="O26" s="115"/>
      <c r="P26" s="115">
        <v>172800</v>
      </c>
      <c r="Q26" s="116">
        <f>Tableau2[[#This Row],[AAP hybridation des formations (P.363)]]+P26</f>
        <v>172800</v>
      </c>
      <c r="R26" s="109">
        <f>Tableau2[[#This Row],[TOTAL Plan de relance (P.363 et P.364)]]/$R$4</f>
        <v>28.8</v>
      </c>
      <c r="S26" s="117">
        <v>114971549</v>
      </c>
      <c r="T26" s="117">
        <v>12545945</v>
      </c>
      <c r="U26" s="117">
        <v>346993</v>
      </c>
      <c r="V26" s="117">
        <v>215000</v>
      </c>
      <c r="W26" s="116">
        <f>SUM(Tableau2[[#This Row],[Masse salariale]:[Immobilier (sécurité, accessibilité, loyers, dévolution, Epaurif)]])</f>
        <v>128079487</v>
      </c>
      <c r="X26" s="122">
        <f>Tableau2[[#This Row],[Masse salariale]]+Tableau2[[#This Row],[Actions d''accompagnement ]]</f>
        <v>115318542</v>
      </c>
      <c r="Y26" s="123">
        <v>13225673</v>
      </c>
      <c r="Z26" s="123">
        <v>-759504</v>
      </c>
      <c r="AA26" s="124">
        <f>Y26+Z26</f>
        <v>12466169</v>
      </c>
      <c r="AB26" s="124">
        <f>Tableau2[[#This Row],[Fonctionnement]]-AA26</f>
        <v>79776</v>
      </c>
      <c r="AC26" s="128">
        <f>Tableau2[[#This Row],[Fonctionnement]]*(1-$AC$4)-AA26</f>
        <v>-672980.70000000112</v>
      </c>
      <c r="AD26" s="138">
        <f>AB26/AA26</f>
        <v>6.3993998476998028E-3</v>
      </c>
      <c r="AF26" s="140">
        <v>112730325</v>
      </c>
      <c r="AG26" s="133">
        <f>Tableau2[[#This Row],[Masse salariale]]-AF26</f>
        <v>2241224</v>
      </c>
      <c r="AH26" s="141">
        <f>AG26/AF26</f>
        <v>1.9881287488526269E-2</v>
      </c>
    </row>
    <row r="27" spans="1:34" s="52" customFormat="1" ht="23.25" customHeight="1">
      <c r="A27" s="67" t="s">
        <v>224</v>
      </c>
      <c r="B27" s="72" t="s">
        <v>21</v>
      </c>
      <c r="C27" s="72" t="s">
        <v>20</v>
      </c>
      <c r="D27" s="72" t="s">
        <v>18</v>
      </c>
      <c r="E27" s="63">
        <v>1347</v>
      </c>
      <c r="F27" s="63">
        <v>26071</v>
      </c>
      <c r="G27" s="63">
        <v>419203</v>
      </c>
      <c r="H27" s="63">
        <v>242684</v>
      </c>
      <c r="I27" s="63">
        <v>37333.000000000102</v>
      </c>
      <c r="J27" s="81">
        <v>71924</v>
      </c>
      <c r="K27" s="63">
        <v>59834</v>
      </c>
      <c r="L27" s="63">
        <v>20000</v>
      </c>
      <c r="M27" s="68">
        <f>SUM(Tableau2[[#This Row],[LPR 2021 - repyramidage (agents ITRF)]:[Congé pour projet pédagogique 
EAP 2021]])</f>
        <v>878396.00000000012</v>
      </c>
      <c r="N27" s="59"/>
      <c r="O27" s="63"/>
      <c r="P27" s="63">
        <v>168000</v>
      </c>
      <c r="Q27" s="68">
        <f>Tableau2[[#This Row],[AAP hybridation des formations (P.363)]]+P27</f>
        <v>168000</v>
      </c>
      <c r="R27" s="63">
        <f>Tableau2[[#This Row],[TOTAL Plan de relance (P.363 et P.364)]]/$R$4</f>
        <v>28</v>
      </c>
      <c r="S27" s="63">
        <v>75034049</v>
      </c>
      <c r="T27" s="63">
        <v>5614956</v>
      </c>
      <c r="U27" s="56">
        <v>338812</v>
      </c>
      <c r="V27" s="56">
        <v>60000</v>
      </c>
      <c r="W27" s="78">
        <f>SUM(Tableau2[[#This Row],[Masse salariale]:[Immobilier (sécurité, accessibilité, loyers, dévolution, Epaurif)]])</f>
        <v>81047817</v>
      </c>
      <c r="X27" s="122">
        <f>Tableau2[[#This Row],[Masse salariale]]+Tableau2[[#This Row],[Actions d''accompagnement ]]</f>
        <v>75372861</v>
      </c>
      <c r="Z27" s="49"/>
      <c r="AA27" s="49"/>
    </row>
    <row r="28" spans="1:34" ht="27" customHeight="1">
      <c r="A28" s="67" t="s">
        <v>290</v>
      </c>
      <c r="B28" s="72" t="s">
        <v>138</v>
      </c>
      <c r="C28" s="72" t="s">
        <v>137</v>
      </c>
      <c r="D28" s="72" t="s">
        <v>138</v>
      </c>
      <c r="E28" s="63">
        <v>5565</v>
      </c>
      <c r="F28" s="63">
        <v>105528</v>
      </c>
      <c r="G28" s="63">
        <v>1235506</v>
      </c>
      <c r="H28" s="63">
        <v>327567</v>
      </c>
      <c r="I28" s="63">
        <v>209000</v>
      </c>
      <c r="J28" s="81">
        <v>19022</v>
      </c>
      <c r="K28" s="63">
        <v>247228</v>
      </c>
      <c r="L28" s="63">
        <v>73333</v>
      </c>
      <c r="M28" s="68">
        <f>SUM(Tableau2[[#This Row],[LPR 2021 - repyramidage (agents ITRF)]:[Congé pour projet pédagogique 
EAP 2021]])</f>
        <v>2222749</v>
      </c>
      <c r="N28" s="59"/>
      <c r="O28" s="87">
        <v>1000000</v>
      </c>
      <c r="P28" s="87">
        <v>166400</v>
      </c>
      <c r="Q28" s="89">
        <f>Tableau2[[#This Row],[AAP hybridation des formations (P.363)]]+P28</f>
        <v>1166400</v>
      </c>
      <c r="R28" s="91">
        <f>Tableau2[[#This Row],[TOTAL Plan de relance (P.363 et P.364)]]/$R$4</f>
        <v>194.4</v>
      </c>
      <c r="S28" s="57">
        <v>274007113</v>
      </c>
      <c r="T28" s="57">
        <v>24894633</v>
      </c>
      <c r="U28" s="57">
        <v>1656241</v>
      </c>
      <c r="V28" s="57">
        <v>450000</v>
      </c>
      <c r="W28" s="89">
        <f>SUM(Tableau2[[#This Row],[Masse salariale]:[Immobilier (sécurité, accessibilité, loyers, dévolution, Epaurif)]])</f>
        <v>301007987</v>
      </c>
      <c r="X28" s="122">
        <f>Tableau2[[#This Row],[Masse salariale]]+Tableau2[[#This Row],[Actions d''accompagnement ]]</f>
        <v>275663354</v>
      </c>
    </row>
    <row r="29" spans="1:34" s="52" customFormat="1" ht="23.25" customHeight="1">
      <c r="A29" s="67"/>
      <c r="B29" s="72" t="s">
        <v>156</v>
      </c>
      <c r="C29" s="72" t="s">
        <v>155</v>
      </c>
      <c r="D29" s="72" t="s">
        <v>508</v>
      </c>
      <c r="E29" s="63">
        <v>628</v>
      </c>
      <c r="F29" s="63">
        <v>15753</v>
      </c>
      <c r="G29" s="63">
        <v>240633</v>
      </c>
      <c r="H29" s="63">
        <v>0</v>
      </c>
      <c r="I29" s="63">
        <v>0</v>
      </c>
      <c r="J29" s="81">
        <v>132</v>
      </c>
      <c r="K29" s="63">
        <v>42441</v>
      </c>
      <c r="L29" s="63">
        <v>13333</v>
      </c>
      <c r="M29" s="68">
        <f>SUM(Tableau2[[#This Row],[LPR 2021 - repyramidage (agents ITRF)]:[Congé pour projet pédagogique 
EAP 2021]])</f>
        <v>312920</v>
      </c>
      <c r="N29" s="59"/>
      <c r="O29" s="63"/>
      <c r="P29" s="63">
        <v>160000</v>
      </c>
      <c r="Q29" s="68">
        <f>Tableau2[[#This Row],[AAP hybridation des formations (P.363)]]+P29</f>
        <v>160000</v>
      </c>
      <c r="R29" s="91">
        <f>Tableau2[[#This Row],[TOTAL Plan de relance (P.363 et P.364)]]/$R$4</f>
        <v>26.666666666666668</v>
      </c>
      <c r="S29" s="63">
        <v>65718045</v>
      </c>
      <c r="T29" s="63">
        <v>3042647</v>
      </c>
      <c r="U29" s="56">
        <v>2240452</v>
      </c>
      <c r="V29" s="56">
        <v>130000</v>
      </c>
      <c r="W29" s="78">
        <f>SUM(Tableau2[[#This Row],[Masse salariale]:[Immobilier (sécurité, accessibilité, loyers, dévolution, Epaurif)]])</f>
        <v>71131144</v>
      </c>
      <c r="X29" s="122">
        <f>Tableau2[[#This Row],[Masse salariale]]+Tableau2[[#This Row],[Actions d''accompagnement ]]</f>
        <v>67958497</v>
      </c>
      <c r="Z29" s="49"/>
      <c r="AA29" s="49"/>
    </row>
    <row r="30" spans="1:34" ht="27" customHeight="1">
      <c r="A30" s="67" t="s">
        <v>103</v>
      </c>
      <c r="B30" s="72" t="s">
        <v>508</v>
      </c>
      <c r="C30" s="72" t="s">
        <v>474</v>
      </c>
      <c r="D30" s="72" t="s">
        <v>508</v>
      </c>
      <c r="E30" s="63">
        <v>9782</v>
      </c>
      <c r="F30" s="63">
        <v>165058</v>
      </c>
      <c r="G30" s="63">
        <v>1530276</v>
      </c>
      <c r="H30" s="63">
        <v>58134</v>
      </c>
      <c r="I30" s="63">
        <v>210000</v>
      </c>
      <c r="J30" s="81">
        <v>-72159</v>
      </c>
      <c r="K30" s="63">
        <v>275538</v>
      </c>
      <c r="L30" s="63">
        <v>110000</v>
      </c>
      <c r="M30" s="68">
        <f>SUM(Tableau2[[#This Row],[LPR 2021 - repyramidage (agents ITRF)]:[Congé pour projet pédagogique 
EAP 2021]])</f>
        <v>2286629</v>
      </c>
      <c r="N30" s="59"/>
      <c r="O30" s="100"/>
      <c r="P30" s="100">
        <v>144000</v>
      </c>
      <c r="Q30" s="101">
        <f>Tableau2[[#This Row],[AAP hybridation des formations (P.363)]]+P30</f>
        <v>144000</v>
      </c>
      <c r="R30" s="91">
        <f>Tableau2[[#This Row],[TOTAL Plan de relance (P.363 et P.364)]]/$R$4</f>
        <v>24</v>
      </c>
      <c r="S30" s="57">
        <v>456736886</v>
      </c>
      <c r="T30" s="57">
        <v>35130111</v>
      </c>
      <c r="U30" s="57">
        <v>1518707</v>
      </c>
      <c r="V30" s="57">
        <v>200000</v>
      </c>
      <c r="W30" s="89">
        <f>SUM(Tableau2[[#This Row],[Masse salariale]:[Immobilier (sécurité, accessibilité, loyers, dévolution, Epaurif)]])</f>
        <v>493585704</v>
      </c>
      <c r="X30" s="122">
        <f>Tableau2[[#This Row],[Masse salariale]]+Tableau2[[#This Row],[Actions d''accompagnement ]]</f>
        <v>458255593</v>
      </c>
    </row>
    <row r="31" spans="1:34" s="52" customFormat="1" ht="23.25" customHeight="1">
      <c r="A31" s="67" t="s">
        <v>208</v>
      </c>
      <c r="B31" s="72" t="s">
        <v>4</v>
      </c>
      <c r="C31" s="72" t="s">
        <v>3</v>
      </c>
      <c r="D31" s="72" t="s">
        <v>4</v>
      </c>
      <c r="E31" s="63">
        <v>1720</v>
      </c>
      <c r="F31" s="63">
        <v>53978</v>
      </c>
      <c r="G31" s="63">
        <v>766977</v>
      </c>
      <c r="H31" s="63">
        <v>129067</v>
      </c>
      <c r="I31" s="63">
        <v>137000</v>
      </c>
      <c r="J31" s="81">
        <v>320</v>
      </c>
      <c r="K31" s="63">
        <v>150860</v>
      </c>
      <c r="L31" s="63">
        <v>46667</v>
      </c>
      <c r="M31" s="68">
        <f>SUM(Tableau2[[#This Row],[LPR 2021 - repyramidage (agents ITRF)]:[Congé pour projet pédagogique 
EAP 2021]])</f>
        <v>1286589</v>
      </c>
      <c r="N31" s="59"/>
      <c r="O31" s="88"/>
      <c r="P31" s="88">
        <v>132800</v>
      </c>
      <c r="Q31" s="90">
        <f>Tableau2[[#This Row],[AAP hybridation des formations (P.363)]]+P31</f>
        <v>132800</v>
      </c>
      <c r="R31" s="91">
        <f>Tableau2[[#This Row],[TOTAL Plan de relance (P.363 et P.364)]]/$R$4</f>
        <v>22.133333333333333</v>
      </c>
      <c r="S31" s="63">
        <v>151833439</v>
      </c>
      <c r="T31" s="63">
        <v>12857261</v>
      </c>
      <c r="U31" s="56">
        <v>348532</v>
      </c>
      <c r="V31" s="56">
        <v>250000</v>
      </c>
      <c r="W31" s="78">
        <f>SUM(Tableau2[[#This Row],[Masse salariale]:[Immobilier (sécurité, accessibilité, loyers, dévolution, Epaurif)]])</f>
        <v>165289232</v>
      </c>
      <c r="X31" s="122">
        <f>Tableau2[[#This Row],[Masse salariale]]+Tableau2[[#This Row],[Actions d''accompagnement ]]</f>
        <v>152181971</v>
      </c>
      <c r="Z31" s="49"/>
      <c r="AA31" s="49"/>
    </row>
    <row r="32" spans="1:34" ht="27" customHeight="1">
      <c r="A32" s="67" t="s">
        <v>181</v>
      </c>
      <c r="B32" s="72" t="s">
        <v>123</v>
      </c>
      <c r="C32" s="72" t="s">
        <v>122</v>
      </c>
      <c r="D32" s="72" t="s">
        <v>144</v>
      </c>
      <c r="E32" s="63">
        <v>1164</v>
      </c>
      <c r="F32" s="63">
        <v>19979</v>
      </c>
      <c r="G32" s="63">
        <v>373004</v>
      </c>
      <c r="H32" s="63">
        <v>166000</v>
      </c>
      <c r="I32" s="63">
        <v>71466.999999999898</v>
      </c>
      <c r="J32" s="81">
        <v>188</v>
      </c>
      <c r="K32" s="63">
        <v>54360</v>
      </c>
      <c r="L32" s="63">
        <v>20000</v>
      </c>
      <c r="M32" s="68">
        <f>SUM(Tableau2[[#This Row],[LPR 2021 - repyramidage (agents ITRF)]:[Congé pour projet pédagogique 
EAP 2021]])</f>
        <v>706161.99999999988</v>
      </c>
      <c r="N32" s="59"/>
      <c r="O32" s="45"/>
      <c r="P32" s="45">
        <v>121600</v>
      </c>
      <c r="Q32" s="79">
        <f>Tableau2[[#This Row],[AAP hybridation des formations (P.363)]]+P32</f>
        <v>121600</v>
      </c>
      <c r="R32" s="91">
        <f>Tableau2[[#This Row],[TOTAL Plan de relance (P.363 et P.364)]]/$R$4</f>
        <v>20.266666666666666</v>
      </c>
      <c r="S32" s="57">
        <v>67975606</v>
      </c>
      <c r="T32" s="57">
        <v>6908186</v>
      </c>
      <c r="U32" s="57">
        <v>171096</v>
      </c>
      <c r="V32" s="57">
        <v>400000</v>
      </c>
      <c r="W32" s="89">
        <f>SUM(Tableau2[[#This Row],[Masse salariale]:[Immobilier (sécurité, accessibilité, loyers, dévolution, Epaurif)]])</f>
        <v>75454888</v>
      </c>
      <c r="X32" s="122">
        <f>Tableau2[[#This Row],[Masse salariale]]+Tableau2[[#This Row],[Actions d''accompagnement ]]</f>
        <v>68146702</v>
      </c>
    </row>
    <row r="33" spans="1:27" s="52" customFormat="1" ht="23.25" customHeight="1">
      <c r="A33" s="67" t="s">
        <v>120</v>
      </c>
      <c r="B33" s="72" t="s">
        <v>144</v>
      </c>
      <c r="C33" s="72" t="s">
        <v>143</v>
      </c>
      <c r="D33" s="72" t="s">
        <v>144</v>
      </c>
      <c r="E33" s="63">
        <v>4923</v>
      </c>
      <c r="F33" s="63">
        <v>80794</v>
      </c>
      <c r="G33" s="63">
        <v>1152651</v>
      </c>
      <c r="H33" s="63">
        <v>213333</v>
      </c>
      <c r="I33" s="63">
        <v>526666.99999999895</v>
      </c>
      <c r="J33" s="81">
        <v>69711</v>
      </c>
      <c r="K33" s="63">
        <v>196311</v>
      </c>
      <c r="L33" s="63">
        <v>63333</v>
      </c>
      <c r="M33" s="68">
        <f>SUM(Tableau2[[#This Row],[LPR 2021 - repyramidage (agents ITRF)]:[Congé pour projet pédagogique 
EAP 2021]])</f>
        <v>2307722.9999999991</v>
      </c>
      <c r="N33" s="59"/>
      <c r="O33" s="63"/>
      <c r="P33" s="63">
        <v>109200</v>
      </c>
      <c r="Q33" s="68">
        <f>Tableau2[[#This Row],[AAP hybridation des formations (P.363)]]+P33</f>
        <v>109200</v>
      </c>
      <c r="R33" s="63">
        <f>Tableau2[[#This Row],[TOTAL Plan de relance (P.363 et P.364)]]/$R$4</f>
        <v>18.2</v>
      </c>
      <c r="S33" s="63">
        <v>231235850</v>
      </c>
      <c r="T33" s="63">
        <v>22698123</v>
      </c>
      <c r="U33" s="56">
        <v>445688</v>
      </c>
      <c r="V33" s="56">
        <v>450000</v>
      </c>
      <c r="W33" s="78">
        <f>SUM(Tableau2[[#This Row],[Masse salariale]:[Immobilier (sécurité, accessibilité, loyers, dévolution, Epaurif)]])</f>
        <v>254829661</v>
      </c>
      <c r="X33" s="122">
        <f>Tableau2[[#This Row],[Masse salariale]]+Tableau2[[#This Row],[Actions d''accompagnement ]]</f>
        <v>231681538</v>
      </c>
      <c r="Z33" s="49"/>
      <c r="AA33" s="49"/>
    </row>
    <row r="34" spans="1:27" s="52" customFormat="1" ht="23.25" customHeight="1">
      <c r="A34" s="67"/>
      <c r="B34" s="72" t="s">
        <v>182</v>
      </c>
      <c r="C34" s="72" t="s">
        <v>181</v>
      </c>
      <c r="D34" s="72" t="s">
        <v>182</v>
      </c>
      <c r="E34" s="63">
        <v>2626</v>
      </c>
      <c r="F34" s="63">
        <v>49449</v>
      </c>
      <c r="G34" s="63">
        <v>764226</v>
      </c>
      <c r="H34" s="63">
        <v>199345</v>
      </c>
      <c r="I34" s="63">
        <v>300400</v>
      </c>
      <c r="J34" s="81">
        <v>906</v>
      </c>
      <c r="K34" s="63">
        <v>127130</v>
      </c>
      <c r="L34" s="63">
        <v>46667</v>
      </c>
      <c r="M34" s="68">
        <f>SUM(Tableau2[[#This Row],[LPR 2021 - repyramidage (agents ITRF)]:[Congé pour projet pédagogique 
EAP 2021]])</f>
        <v>1490749</v>
      </c>
      <c r="N34" s="59"/>
      <c r="O34" s="63"/>
      <c r="P34" s="63">
        <v>108000</v>
      </c>
      <c r="Q34" s="68">
        <f>Tableau2[[#This Row],[AAP hybridation des formations (P.363)]]+P34</f>
        <v>108000</v>
      </c>
      <c r="R34" s="91">
        <f>Tableau2[[#This Row],[TOTAL Plan de relance (P.363 et P.364)]]/$R$4</f>
        <v>18</v>
      </c>
      <c r="S34" s="63">
        <v>159604945</v>
      </c>
      <c r="T34" s="63">
        <v>13162331</v>
      </c>
      <c r="U34" s="56">
        <v>360736</v>
      </c>
      <c r="V34" s="56">
        <v>120000</v>
      </c>
      <c r="W34" s="78">
        <f>SUM(Tableau2[[#This Row],[Masse salariale]:[Immobilier (sécurité, accessibilité, loyers, dévolution, Epaurif)]])</f>
        <v>173248012</v>
      </c>
      <c r="X34" s="122">
        <f>Tableau2[[#This Row],[Masse salariale]]+Tableau2[[#This Row],[Actions d''accompagnement ]]</f>
        <v>159965681</v>
      </c>
      <c r="Z34" s="49"/>
      <c r="AA34" s="49"/>
    </row>
    <row r="35" spans="1:27" ht="27" customHeight="1">
      <c r="A35" s="67"/>
      <c r="B35" s="72" t="s">
        <v>217</v>
      </c>
      <c r="C35" s="72" t="s">
        <v>216</v>
      </c>
      <c r="D35" s="72" t="s">
        <v>507</v>
      </c>
      <c r="E35" s="63">
        <v>1985</v>
      </c>
      <c r="F35" s="63">
        <v>32687</v>
      </c>
      <c r="G35" s="63">
        <v>412023</v>
      </c>
      <c r="H35" s="63">
        <v>151466</v>
      </c>
      <c r="I35" s="63">
        <v>152200</v>
      </c>
      <c r="J35" s="81">
        <v>-17478</v>
      </c>
      <c r="K35" s="63">
        <v>58451</v>
      </c>
      <c r="L35" s="63">
        <v>26667</v>
      </c>
      <c r="M35" s="68">
        <f>SUM(Tableau2[[#This Row],[LPR 2021 - repyramidage (agents ITRF)]:[Congé pour projet pédagogique 
EAP 2021]])</f>
        <v>818001</v>
      </c>
      <c r="N35" s="59"/>
      <c r="O35" s="87">
        <v>0</v>
      </c>
      <c r="P35" s="87">
        <v>100400</v>
      </c>
      <c r="Q35" s="89">
        <f>Tableau2[[#This Row],[AAP hybridation des formations (P.363)]]+P35</f>
        <v>100400</v>
      </c>
      <c r="R35" s="91">
        <f>Tableau2[[#This Row],[TOTAL Plan de relance (P.363 et P.364)]]/$R$4</f>
        <v>16.733333333333334</v>
      </c>
      <c r="S35" s="57">
        <v>103318943</v>
      </c>
      <c r="T35" s="57">
        <v>9568900</v>
      </c>
      <c r="U35" s="57">
        <v>291018</v>
      </c>
      <c r="V35" s="57">
        <v>320000</v>
      </c>
      <c r="W35" s="89">
        <f>SUM(Tableau2[[#This Row],[Masse salariale]:[Immobilier (sécurité, accessibilité, loyers, dévolution, Epaurif)]])</f>
        <v>113498861</v>
      </c>
      <c r="X35" s="122">
        <f>Tableau2[[#This Row],[Masse salariale]]+Tableau2[[#This Row],[Actions d''accompagnement ]]</f>
        <v>103609961</v>
      </c>
    </row>
    <row r="36" spans="1:27" s="52" customFormat="1" ht="23.25" customHeight="1">
      <c r="A36" s="67" t="s">
        <v>22</v>
      </c>
      <c r="B36" s="72" t="s">
        <v>527</v>
      </c>
      <c r="C36" s="72" t="s">
        <v>124</v>
      </c>
      <c r="D36" s="72" t="s">
        <v>527</v>
      </c>
      <c r="E36" s="63">
        <v>1843</v>
      </c>
      <c r="F36" s="63">
        <v>41082</v>
      </c>
      <c r="G36" s="63">
        <v>567067</v>
      </c>
      <c r="H36" s="63">
        <v>225766</v>
      </c>
      <c r="I36" s="63">
        <v>269600</v>
      </c>
      <c r="J36" s="81">
        <v>-17597</v>
      </c>
      <c r="K36" s="63">
        <v>100032</v>
      </c>
      <c r="L36" s="63">
        <v>33333</v>
      </c>
      <c r="M36" s="68">
        <f>SUM(Tableau2[[#This Row],[LPR 2021 - repyramidage (agents ITRF)]:[Congé pour projet pédagogique 
EAP 2021]])</f>
        <v>1221126</v>
      </c>
      <c r="N36" s="59"/>
      <c r="O36" s="103"/>
      <c r="P36" s="103">
        <v>99200</v>
      </c>
      <c r="Q36" s="73">
        <f>Tableau2[[#This Row],[AAP hybridation des formations (P.363)]]+P36</f>
        <v>99200</v>
      </c>
      <c r="R36" s="91">
        <f>Tableau2[[#This Row],[TOTAL Plan de relance (P.363 et P.364)]]/$R$4</f>
        <v>16.533333333333335</v>
      </c>
      <c r="S36" s="63">
        <v>116293994</v>
      </c>
      <c r="T36" s="63">
        <v>10360976</v>
      </c>
      <c r="U36" s="56">
        <v>317698</v>
      </c>
      <c r="V36" s="56">
        <v>300000</v>
      </c>
      <c r="W36" s="78">
        <f>SUM(Tableau2[[#This Row],[Masse salariale]:[Immobilier (sécurité, accessibilité, loyers, dévolution, Epaurif)]])</f>
        <v>127272668</v>
      </c>
      <c r="X36" s="122">
        <f>Tableau2[[#This Row],[Masse salariale]]+Tableau2[[#This Row],[Actions d''accompagnement ]]</f>
        <v>116611692</v>
      </c>
      <c r="Z36" s="49"/>
      <c r="AA36" s="49"/>
    </row>
    <row r="37" spans="1:27" ht="27" customHeight="1">
      <c r="A37" s="67" t="s">
        <v>185</v>
      </c>
      <c r="B37" s="72" t="s">
        <v>132</v>
      </c>
      <c r="C37" s="72" t="s">
        <v>131</v>
      </c>
      <c r="D37" s="72" t="s">
        <v>497</v>
      </c>
      <c r="E37" s="63">
        <v>1833</v>
      </c>
      <c r="F37" s="63">
        <v>40303</v>
      </c>
      <c r="G37" s="63">
        <v>574838</v>
      </c>
      <c r="H37" s="63">
        <v>98667</v>
      </c>
      <c r="I37" s="63">
        <v>0</v>
      </c>
      <c r="J37" s="81">
        <v>-17790</v>
      </c>
      <c r="K37" s="63">
        <v>94594</v>
      </c>
      <c r="L37" s="63">
        <v>26667</v>
      </c>
      <c r="M37" s="68">
        <f>SUM(Tableau2[[#This Row],[LPR 2021 - repyramidage (agents ITRF)]:[Congé pour projet pédagogique 
EAP 2021]])</f>
        <v>819112</v>
      </c>
      <c r="N37" s="59"/>
      <c r="O37" s="45"/>
      <c r="P37" s="45">
        <v>99200</v>
      </c>
      <c r="Q37" s="79">
        <f>Tableau2[[#This Row],[AAP hybridation des formations (P.363)]]+P37</f>
        <v>99200</v>
      </c>
      <c r="R37" s="91">
        <f>Tableau2[[#This Row],[TOTAL Plan de relance (P.363 et P.364)]]/$R$4</f>
        <v>16.533333333333335</v>
      </c>
      <c r="S37" s="57">
        <v>109930949</v>
      </c>
      <c r="T37" s="57">
        <v>9599877</v>
      </c>
      <c r="U37" s="57">
        <v>279497</v>
      </c>
      <c r="V37" s="57">
        <v>100000</v>
      </c>
      <c r="W37" s="89">
        <f>SUM(Tableau2[[#This Row],[Masse salariale]:[Immobilier (sécurité, accessibilité, loyers, dévolution, Epaurif)]])</f>
        <v>119910323</v>
      </c>
      <c r="X37" s="122">
        <f>Tableau2[[#This Row],[Masse salariale]]+Tableau2[[#This Row],[Actions d''accompagnement ]]</f>
        <v>110210446</v>
      </c>
    </row>
    <row r="38" spans="1:27" s="52" customFormat="1" ht="23.25" customHeight="1">
      <c r="A38" s="67" t="s">
        <v>222</v>
      </c>
      <c r="B38" s="72" t="s">
        <v>488</v>
      </c>
      <c r="C38" s="72" t="s">
        <v>15</v>
      </c>
      <c r="D38" s="72" t="s">
        <v>16</v>
      </c>
      <c r="E38" s="63">
        <v>2032</v>
      </c>
      <c r="F38" s="63">
        <v>45952</v>
      </c>
      <c r="G38" s="63">
        <v>788304</v>
      </c>
      <c r="H38" s="63">
        <v>155200</v>
      </c>
      <c r="I38" s="63">
        <v>373000</v>
      </c>
      <c r="J38" s="81">
        <v>241</v>
      </c>
      <c r="K38" s="63">
        <v>137643</v>
      </c>
      <c r="L38" s="63">
        <v>46667</v>
      </c>
      <c r="M38" s="68">
        <f>SUM(Tableau2[[#This Row],[LPR 2021 - repyramidage (agents ITRF)]:[Congé pour projet pédagogique 
EAP 2021]])</f>
        <v>1549039</v>
      </c>
      <c r="N38" s="59"/>
      <c r="O38" s="88"/>
      <c r="P38" s="88">
        <v>97200</v>
      </c>
      <c r="Q38" s="90">
        <f>Tableau2[[#This Row],[AAP hybridation des formations (P.363)]]+P38</f>
        <v>97200</v>
      </c>
      <c r="R38" s="91">
        <f>Tableau2[[#This Row],[TOTAL Plan de relance (P.363 et P.364)]]/$R$4</f>
        <v>16.2</v>
      </c>
      <c r="S38" s="63">
        <v>155137801</v>
      </c>
      <c r="T38" s="63">
        <v>14398241</v>
      </c>
      <c r="U38" s="56">
        <v>366558</v>
      </c>
      <c r="V38" s="56">
        <v>225000</v>
      </c>
      <c r="W38" s="78">
        <f>SUM(Tableau2[[#This Row],[Masse salariale]:[Immobilier (sécurité, accessibilité, loyers, dévolution, Epaurif)]])</f>
        <v>170127600</v>
      </c>
      <c r="X38" s="122">
        <f>Tableau2[[#This Row],[Masse salariale]]+Tableau2[[#This Row],[Actions d''accompagnement ]]</f>
        <v>155504359</v>
      </c>
      <c r="Z38" s="49"/>
      <c r="AA38" s="49"/>
    </row>
    <row r="39" spans="1:27" ht="27" customHeight="1">
      <c r="A39" s="67" t="s">
        <v>198</v>
      </c>
      <c r="B39" s="72" t="s">
        <v>533</v>
      </c>
      <c r="C39" s="72" t="s">
        <v>210</v>
      </c>
      <c r="D39" s="72" t="s">
        <v>508</v>
      </c>
      <c r="E39" s="63">
        <v>1329</v>
      </c>
      <c r="F39" s="63">
        <v>15100</v>
      </c>
      <c r="G39" s="63">
        <v>297183</v>
      </c>
      <c r="H39" s="63">
        <v>0</v>
      </c>
      <c r="I39" s="63">
        <v>0</v>
      </c>
      <c r="J39" s="81">
        <v>280</v>
      </c>
      <c r="K39" s="63">
        <v>29075</v>
      </c>
      <c r="L39" s="63">
        <v>13333</v>
      </c>
      <c r="M39" s="68">
        <f>SUM(Tableau2[[#This Row],[LPR 2021 - repyramidage (agents ITRF)]:[Congé pour projet pédagogique 
EAP 2021]])</f>
        <v>356300</v>
      </c>
      <c r="N39" s="59"/>
      <c r="O39" s="87"/>
      <c r="P39" s="87">
        <v>84510</v>
      </c>
      <c r="Q39" s="89">
        <f>Tableau2[[#This Row],[AAP hybridation des formations (P.363)]]+P39</f>
        <v>84510</v>
      </c>
      <c r="R39" s="91">
        <f>Tableau2[[#This Row],[TOTAL Plan de relance (P.363 et P.364)]]/$R$4</f>
        <v>14.085000000000001</v>
      </c>
      <c r="S39" s="57">
        <v>53350312</v>
      </c>
      <c r="T39" s="57">
        <v>4988606</v>
      </c>
      <c r="U39" s="57">
        <v>554526</v>
      </c>
      <c r="V39" s="57">
        <v>55000</v>
      </c>
      <c r="W39" s="89">
        <f>SUM(Tableau2[[#This Row],[Masse salariale]:[Immobilier (sécurité, accessibilité, loyers, dévolution, Epaurif)]])</f>
        <v>58948444</v>
      </c>
      <c r="X39" s="122">
        <f>Tableau2[[#This Row],[Masse salariale]]+Tableau2[[#This Row],[Actions d''accompagnement ]]</f>
        <v>53904838</v>
      </c>
    </row>
    <row r="40" spans="1:27" s="52" customFormat="1" ht="23.25" customHeight="1">
      <c r="A40" s="67"/>
      <c r="B40" s="72" t="s">
        <v>213</v>
      </c>
      <c r="C40" s="72" t="s">
        <v>212</v>
      </c>
      <c r="D40" s="72" t="s">
        <v>182</v>
      </c>
      <c r="E40" s="63">
        <v>320</v>
      </c>
      <c r="F40" s="63">
        <v>6788</v>
      </c>
      <c r="G40" s="63">
        <v>91941</v>
      </c>
      <c r="H40" s="63">
        <v>0</v>
      </c>
      <c r="I40" s="63">
        <v>0</v>
      </c>
      <c r="J40" s="81">
        <v>0</v>
      </c>
      <c r="K40" s="63">
        <v>12477</v>
      </c>
      <c r="L40" s="63">
        <v>3333</v>
      </c>
      <c r="M40" s="68">
        <f>SUM(Tableau2[[#This Row],[LPR 2021 - repyramidage (agents ITRF)]:[Congé pour projet pédagogique 
EAP 2021]])</f>
        <v>114859</v>
      </c>
      <c r="N40" s="59"/>
      <c r="O40" s="88"/>
      <c r="P40" s="88">
        <v>80000</v>
      </c>
      <c r="Q40" s="90">
        <f>Tableau2[[#This Row],[AAP hybridation des formations (P.363)]]+P40</f>
        <v>80000</v>
      </c>
      <c r="R40" s="91">
        <f>Tableau2[[#This Row],[TOTAL Plan de relance (P.363 et P.364)]]/$R$4</f>
        <v>13.333333333333334</v>
      </c>
      <c r="S40" s="63">
        <v>24756215</v>
      </c>
      <c r="T40" s="63">
        <v>791501</v>
      </c>
      <c r="U40" s="56">
        <v>80000</v>
      </c>
      <c r="V40" s="56">
        <v>15000</v>
      </c>
      <c r="W40" s="78">
        <f>SUM(Tableau2[[#This Row],[Masse salariale]:[Immobilier (sécurité, accessibilité, loyers, dévolution, Epaurif)]])</f>
        <v>25642716</v>
      </c>
      <c r="X40" s="122">
        <f>Tableau2[[#This Row],[Masse salariale]]+Tableau2[[#This Row],[Actions d''accompagnement ]]</f>
        <v>24836215</v>
      </c>
      <c r="Z40" s="49"/>
      <c r="AA40" s="49"/>
    </row>
    <row r="41" spans="1:27" ht="27" customHeight="1">
      <c r="A41" s="67"/>
      <c r="B41" s="72" t="s">
        <v>438</v>
      </c>
      <c r="C41" s="72" t="s">
        <v>447</v>
      </c>
      <c r="D41" s="72" t="s">
        <v>508</v>
      </c>
      <c r="E41" s="63">
        <v>11099</v>
      </c>
      <c r="F41" s="63">
        <v>174934</v>
      </c>
      <c r="G41" s="63">
        <v>1961810</v>
      </c>
      <c r="H41" s="63">
        <v>17751</v>
      </c>
      <c r="I41" s="63">
        <v>105000</v>
      </c>
      <c r="J41" s="81">
        <v>7500</v>
      </c>
      <c r="K41" s="63">
        <v>290574</v>
      </c>
      <c r="L41" s="63">
        <v>110000</v>
      </c>
      <c r="M41" s="68">
        <f>SUM(Tableau2[[#This Row],[LPR 2021 - repyramidage (agents ITRF)]:[Congé pour projet pédagogique 
EAP 2021]])</f>
        <v>2678668</v>
      </c>
      <c r="N41" s="59"/>
      <c r="O41" s="87"/>
      <c r="P41" s="87">
        <v>72000</v>
      </c>
      <c r="Q41" s="89">
        <f>Tableau2[[#This Row],[AAP hybridation des formations (P.363)]]+P41</f>
        <v>72000</v>
      </c>
      <c r="R41" s="91">
        <f>Tableau2[[#This Row],[TOTAL Plan de relance (P.363 et P.364)]]/$R$4</f>
        <v>12</v>
      </c>
      <c r="S41" s="57">
        <v>452649347</v>
      </c>
      <c r="T41" s="57">
        <v>37281294</v>
      </c>
      <c r="U41" s="57">
        <v>1474356</v>
      </c>
      <c r="V41" s="57">
        <v>200000</v>
      </c>
      <c r="W41" s="89">
        <f>SUM(Tableau2[[#This Row],[Masse salariale]:[Immobilier (sécurité, accessibilité, loyers, dévolution, Epaurif)]])</f>
        <v>491604997</v>
      </c>
      <c r="X41" s="122">
        <f>Tableau2[[#This Row],[Masse salariale]]+Tableau2[[#This Row],[Actions d''accompagnement ]]</f>
        <v>454123703</v>
      </c>
    </row>
    <row r="42" spans="1:27" s="52" customFormat="1" ht="23.25" customHeight="1">
      <c r="A42" s="67" t="s">
        <v>137</v>
      </c>
      <c r="B42" s="72" t="s">
        <v>97</v>
      </c>
      <c r="C42" s="72" t="s">
        <v>515</v>
      </c>
      <c r="D42" s="72" t="s">
        <v>493</v>
      </c>
      <c r="E42" s="63">
        <v>8126</v>
      </c>
      <c r="F42" s="63">
        <v>129122</v>
      </c>
      <c r="G42" s="63">
        <v>1645743</v>
      </c>
      <c r="H42" s="63">
        <v>869867</v>
      </c>
      <c r="I42" s="63">
        <v>105000</v>
      </c>
      <c r="J42" s="81">
        <v>55365</v>
      </c>
      <c r="K42" s="63">
        <v>268788</v>
      </c>
      <c r="L42" s="63">
        <v>90000</v>
      </c>
      <c r="M42" s="68">
        <f>SUM(Tableau2[[#This Row],[LPR 2021 - repyramidage (agents ITRF)]:[Congé pour projet pédagogique 
EAP 2021]])</f>
        <v>3172011</v>
      </c>
      <c r="N42" s="59"/>
      <c r="O42" s="63"/>
      <c r="P42" s="63">
        <v>60800</v>
      </c>
      <c r="Q42" s="68">
        <f>Tableau2[[#This Row],[AAP hybridation des formations (P.363)]]+P42</f>
        <v>60800</v>
      </c>
      <c r="R42" s="63">
        <f>Tableau2[[#This Row],[TOTAL Plan de relance (P.363 et P.364)]]/$R$4</f>
        <v>10.133333333333333</v>
      </c>
      <c r="S42" s="63">
        <v>333713950</v>
      </c>
      <c r="T42" s="63">
        <v>34131830</v>
      </c>
      <c r="U42" s="56">
        <v>909660</v>
      </c>
      <c r="V42" s="56">
        <v>200000</v>
      </c>
      <c r="W42" s="78">
        <f>SUM(Tableau2[[#This Row],[Masse salariale]:[Immobilier (sécurité, accessibilité, loyers, dévolution, Epaurif)]])</f>
        <v>368955440</v>
      </c>
      <c r="X42" s="122">
        <f>Tableau2[[#This Row],[Masse salariale]]+Tableau2[[#This Row],[Actions d''accompagnement ]]</f>
        <v>334623610</v>
      </c>
      <c r="Z42" s="49"/>
      <c r="AA42" s="49"/>
    </row>
    <row r="43" spans="1:27" ht="27" customHeight="1">
      <c r="A43" s="67" t="s">
        <v>127</v>
      </c>
      <c r="B43" s="72" t="s">
        <v>100</v>
      </c>
      <c r="C43" s="72" t="s">
        <v>99</v>
      </c>
      <c r="D43" s="72" t="s">
        <v>100</v>
      </c>
      <c r="E43" s="63">
        <v>318</v>
      </c>
      <c r="F43" s="63">
        <v>5948</v>
      </c>
      <c r="G43" s="63">
        <v>77270</v>
      </c>
      <c r="H43" s="63">
        <v>384000</v>
      </c>
      <c r="I43" s="63">
        <v>129000</v>
      </c>
      <c r="J43" s="81">
        <v>17994</v>
      </c>
      <c r="K43" s="63">
        <v>17438</v>
      </c>
      <c r="L43" s="63">
        <v>3333</v>
      </c>
      <c r="M43" s="68">
        <f>SUM(Tableau2[[#This Row],[LPR 2021 - repyramidage (agents ITRF)]:[Congé pour projet pédagogique 
EAP 2021]])</f>
        <v>635301</v>
      </c>
      <c r="N43" s="59"/>
      <c r="O43" s="87">
        <v>1000000</v>
      </c>
      <c r="P43" s="87">
        <v>48000</v>
      </c>
      <c r="Q43" s="89">
        <f>Tableau2[[#This Row],[AAP hybridation des formations (P.363)]]+P43</f>
        <v>1048000</v>
      </c>
      <c r="R43" s="91">
        <f>Tableau2[[#This Row],[TOTAL Plan de relance (P.363 et P.364)]]/$R$4</f>
        <v>174.66666666666666</v>
      </c>
      <c r="S43" s="57">
        <v>21336143</v>
      </c>
      <c r="T43" s="57">
        <v>1168513</v>
      </c>
      <c r="U43" s="57">
        <v>1161385</v>
      </c>
      <c r="V43" s="57">
        <v>205000</v>
      </c>
      <c r="W43" s="89">
        <f>SUM(Tableau2[[#This Row],[Masse salariale]:[Immobilier (sécurité, accessibilité, loyers, dévolution, Epaurif)]])</f>
        <v>23871041</v>
      </c>
      <c r="X43" s="122">
        <f>Tableau2[[#This Row],[Masse salariale]]+Tableau2[[#This Row],[Actions d''accompagnement ]]</f>
        <v>22497528</v>
      </c>
    </row>
    <row r="44" spans="1:27" s="52" customFormat="1" ht="23.25" customHeight="1">
      <c r="A44" s="67" t="s">
        <v>210</v>
      </c>
      <c r="B44" s="72" t="s">
        <v>519</v>
      </c>
      <c r="C44" s="72" t="s">
        <v>278</v>
      </c>
      <c r="D44" s="72" t="s">
        <v>508</v>
      </c>
      <c r="E44" s="63"/>
      <c r="F44" s="63"/>
      <c r="G44" s="63"/>
      <c r="H44" s="63">
        <v>41373</v>
      </c>
      <c r="I44" s="63">
        <v>35200</v>
      </c>
      <c r="J44" s="81">
        <v>0</v>
      </c>
      <c r="K44" s="63">
        <v>0</v>
      </c>
      <c r="L44" s="63">
        <v>10000</v>
      </c>
      <c r="M44" s="68">
        <f>SUM(Tableau2[[#This Row],[LPR 2021 - repyramidage (agents ITRF)]:[Congé pour projet pédagogique 
EAP 2021]])</f>
        <v>86573</v>
      </c>
      <c r="N44" s="59"/>
      <c r="O44" s="88">
        <v>1000000</v>
      </c>
      <c r="P44" s="88">
        <v>48000</v>
      </c>
      <c r="Q44" s="90">
        <f>Tableau2[[#This Row],[AAP hybridation des formations (P.363)]]+P44</f>
        <v>1048000</v>
      </c>
      <c r="R44" s="63">
        <f>Tableau2[[#This Row],[TOTAL Plan de relance (P.363 et P.364)]]/$R$4</f>
        <v>174.66666666666666</v>
      </c>
      <c r="S44" s="63">
        <v>4089471</v>
      </c>
      <c r="T44" s="63">
        <v>3785366</v>
      </c>
      <c r="U44" s="56">
        <v>1097496</v>
      </c>
      <c r="V44" s="56">
        <v>0</v>
      </c>
      <c r="W44" s="78">
        <f>SUM(Tableau2[[#This Row],[Masse salariale]:[Immobilier (sécurité, accessibilité, loyers, dévolution, Epaurif)]])</f>
        <v>8972333</v>
      </c>
      <c r="X44" s="122">
        <f>Tableau2[[#This Row],[Masse salariale]]+Tableau2[[#This Row],[Actions d''accompagnement ]]</f>
        <v>5186967</v>
      </c>
      <c r="Z44" s="49"/>
      <c r="AA44" s="49"/>
    </row>
    <row r="45" spans="1:27" ht="27" customHeight="1">
      <c r="A45" s="67"/>
      <c r="B45" s="72" t="s">
        <v>172</v>
      </c>
      <c r="C45" s="72" t="s">
        <v>171</v>
      </c>
      <c r="D45" s="72" t="s">
        <v>509</v>
      </c>
      <c r="E45" s="63">
        <v>2497</v>
      </c>
      <c r="F45" s="63">
        <v>38256</v>
      </c>
      <c r="G45" s="63">
        <v>691811</v>
      </c>
      <c r="H45" s="63">
        <v>344000</v>
      </c>
      <c r="I45" s="63">
        <v>341000</v>
      </c>
      <c r="J45" s="81">
        <v>18060</v>
      </c>
      <c r="K45" s="63">
        <v>93518</v>
      </c>
      <c r="L45" s="63">
        <v>40000</v>
      </c>
      <c r="M45" s="68">
        <f>SUM(Tableau2[[#This Row],[LPR 2021 - repyramidage (agents ITRF)]:[Congé pour projet pédagogique 
EAP 2021]])</f>
        <v>1569142</v>
      </c>
      <c r="N45" s="59"/>
      <c r="O45" s="87"/>
      <c r="P45" s="87">
        <v>41600</v>
      </c>
      <c r="Q45" s="89">
        <f>Tableau2[[#This Row],[AAP hybridation des formations (P.363)]]+P45</f>
        <v>41600</v>
      </c>
      <c r="R45" s="91">
        <f>Tableau2[[#This Row],[TOTAL Plan de relance (P.363 et P.364)]]/$R$4</f>
        <v>6.9333333333333336</v>
      </c>
      <c r="S45" s="57">
        <v>141672866</v>
      </c>
      <c r="T45" s="57">
        <v>11363657</v>
      </c>
      <c r="U45" s="57">
        <v>529116</v>
      </c>
      <c r="V45" s="57">
        <v>250000</v>
      </c>
      <c r="W45" s="89">
        <f>SUM(Tableau2[[#This Row],[Masse salariale]:[Immobilier (sécurité, accessibilité, loyers, dévolution, Epaurif)]])</f>
        <v>153815639</v>
      </c>
      <c r="X45" s="122">
        <f>Tableau2[[#This Row],[Masse salariale]]+Tableau2[[#This Row],[Actions d''accompagnement ]]</f>
        <v>142201982</v>
      </c>
    </row>
    <row r="46" spans="1:27" s="52" customFormat="1" ht="23.25" customHeight="1">
      <c r="A46" s="67" t="s">
        <v>175</v>
      </c>
      <c r="B46" s="72" t="s">
        <v>516</v>
      </c>
      <c r="C46" s="72" t="s">
        <v>517</v>
      </c>
      <c r="D46" s="72" t="s">
        <v>509</v>
      </c>
      <c r="E46" s="63">
        <v>1302</v>
      </c>
      <c r="F46" s="63">
        <v>19672</v>
      </c>
      <c r="G46" s="63">
        <v>356441</v>
      </c>
      <c r="H46" s="63">
        <v>231493</v>
      </c>
      <c r="I46" s="63">
        <v>0</v>
      </c>
      <c r="J46" s="81">
        <v>18206</v>
      </c>
      <c r="K46" s="63">
        <v>42369</v>
      </c>
      <c r="L46" s="63">
        <v>16667</v>
      </c>
      <c r="M46" s="68">
        <f>SUM(Tableau2[[#This Row],[LPR 2021 - repyramidage (agents ITRF)]:[Congé pour projet pédagogique 
EAP 2021]])</f>
        <v>686150</v>
      </c>
      <c r="N46" s="59"/>
      <c r="O46" s="88"/>
      <c r="P46" s="88">
        <v>40000</v>
      </c>
      <c r="Q46" s="90">
        <f>Tableau2[[#This Row],[AAP hybridation des formations (P.363)]]+P46</f>
        <v>40000</v>
      </c>
      <c r="R46" s="63">
        <f>Tableau2[[#This Row],[TOTAL Plan de relance (P.363 et P.364)]]/$R$4</f>
        <v>6.666666666666667</v>
      </c>
      <c r="S46" s="63">
        <v>78524163</v>
      </c>
      <c r="T46" s="63">
        <v>2868847</v>
      </c>
      <c r="U46" s="56">
        <v>109557</v>
      </c>
      <c r="V46" s="56">
        <v>250000</v>
      </c>
      <c r="W46" s="78">
        <f>SUM(Tableau2[[#This Row],[Masse salariale]:[Immobilier (sécurité, accessibilité, loyers, dévolution, Epaurif)]])</f>
        <v>81752567</v>
      </c>
      <c r="X46" s="122">
        <f>Tableau2[[#This Row],[Masse salariale]]+Tableau2[[#This Row],[Actions d''accompagnement ]]</f>
        <v>78633720</v>
      </c>
      <c r="Z46" s="49"/>
      <c r="AA46" s="49"/>
    </row>
    <row r="47" spans="1:27" ht="27" customHeight="1">
      <c r="A47" s="67"/>
      <c r="B47" s="72" t="s">
        <v>164</v>
      </c>
      <c r="C47" s="72" t="s">
        <v>163</v>
      </c>
      <c r="D47" s="72" t="s">
        <v>509</v>
      </c>
      <c r="E47" s="63">
        <v>2117</v>
      </c>
      <c r="F47" s="63">
        <v>28468</v>
      </c>
      <c r="G47" s="63">
        <v>661552</v>
      </c>
      <c r="H47" s="63">
        <v>313534</v>
      </c>
      <c r="I47" s="63">
        <v>26666.999999999898</v>
      </c>
      <c r="J47" s="81">
        <v>45811</v>
      </c>
      <c r="K47" s="63">
        <v>63871</v>
      </c>
      <c r="L47" s="63">
        <v>33333</v>
      </c>
      <c r="M47" s="68">
        <f>SUM(Tableau2[[#This Row],[LPR 2021 - repyramidage (agents ITRF)]:[Congé pour projet pédagogique 
EAP 2021]])</f>
        <v>1175353</v>
      </c>
      <c r="N47" s="59"/>
      <c r="O47" s="100"/>
      <c r="P47" s="100">
        <v>32000</v>
      </c>
      <c r="Q47" s="101">
        <f>Tableau2[[#This Row],[AAP hybridation des formations (P.363)]]+P47</f>
        <v>32000</v>
      </c>
      <c r="R47" s="91">
        <f>Tableau2[[#This Row],[TOTAL Plan de relance (P.363 et P.364)]]/$R$4</f>
        <v>5.333333333333333</v>
      </c>
      <c r="S47" s="57">
        <v>118402068</v>
      </c>
      <c r="T47" s="57">
        <v>5067571</v>
      </c>
      <c r="U47" s="57">
        <v>289854</v>
      </c>
      <c r="V47" s="57">
        <v>350000</v>
      </c>
      <c r="W47" s="89">
        <f>SUM(Tableau2[[#This Row],[Masse salariale]:[Immobilier (sécurité, accessibilité, loyers, dévolution, Epaurif)]])</f>
        <v>124109493</v>
      </c>
      <c r="X47" s="122">
        <f>Tableau2[[#This Row],[Masse salariale]]+Tableau2[[#This Row],[Actions d''accompagnement ]]</f>
        <v>118691922</v>
      </c>
    </row>
    <row r="48" spans="1:27" s="52" customFormat="1" ht="23.25" customHeight="1">
      <c r="A48" s="67" t="s">
        <v>112</v>
      </c>
      <c r="B48" s="72" t="s">
        <v>530</v>
      </c>
      <c r="C48" s="72" t="s">
        <v>147</v>
      </c>
      <c r="D48" s="72" t="s">
        <v>138</v>
      </c>
      <c r="E48" s="63">
        <v>313</v>
      </c>
      <c r="F48" s="63">
        <v>6178</v>
      </c>
      <c r="G48" s="63">
        <v>77791</v>
      </c>
      <c r="H48" s="63">
        <v>162499</v>
      </c>
      <c r="I48" s="63">
        <v>42666.999999999898</v>
      </c>
      <c r="J48" s="81">
        <v>380144</v>
      </c>
      <c r="K48" s="63">
        <v>9382</v>
      </c>
      <c r="L48" s="63">
        <v>3333</v>
      </c>
      <c r="M48" s="68">
        <f>SUM(Tableau2[[#This Row],[LPR 2021 - repyramidage (agents ITRF)]:[Congé pour projet pédagogique 
EAP 2021]])</f>
        <v>682306.99999999988</v>
      </c>
      <c r="N48" s="59"/>
      <c r="O48" s="103"/>
      <c r="P48" s="103">
        <v>32000</v>
      </c>
      <c r="Q48" s="73">
        <f>Tableau2[[#This Row],[AAP hybridation des formations (P.363)]]+P48</f>
        <v>32000</v>
      </c>
      <c r="R48" s="63">
        <f>Tableau2[[#This Row],[TOTAL Plan de relance (P.363 et P.364)]]/$R$4</f>
        <v>5.333333333333333</v>
      </c>
      <c r="S48" s="63">
        <v>18021971</v>
      </c>
      <c r="T48" s="63">
        <v>1586936</v>
      </c>
      <c r="U48" s="56">
        <v>182000</v>
      </c>
      <c r="V48" s="56">
        <v>220000</v>
      </c>
      <c r="W48" s="78">
        <f>SUM(Tableau2[[#This Row],[Masse salariale]:[Immobilier (sécurité, accessibilité, loyers, dévolution, Epaurif)]])</f>
        <v>20010907</v>
      </c>
      <c r="X48" s="122">
        <f>Tableau2[[#This Row],[Masse salariale]]+Tableau2[[#This Row],[Actions d''accompagnement ]]</f>
        <v>18203971</v>
      </c>
      <c r="Z48" s="49"/>
      <c r="AA48" s="49"/>
    </row>
    <row r="49" spans="1:27" ht="27" customHeight="1">
      <c r="A49" s="67" t="s">
        <v>173</v>
      </c>
      <c r="B49" s="72" t="s">
        <v>25</v>
      </c>
      <c r="C49" s="72" t="s">
        <v>24</v>
      </c>
      <c r="D49" s="72" t="s">
        <v>489</v>
      </c>
      <c r="E49" s="63">
        <v>1058</v>
      </c>
      <c r="F49" s="63">
        <v>22145</v>
      </c>
      <c r="G49" s="63">
        <v>310258</v>
      </c>
      <c r="H49" s="63">
        <v>33333</v>
      </c>
      <c r="I49" s="63">
        <v>85333.000000000102</v>
      </c>
      <c r="J49" s="81">
        <v>0</v>
      </c>
      <c r="K49" s="63">
        <v>55258</v>
      </c>
      <c r="L49" s="63">
        <v>16667</v>
      </c>
      <c r="M49" s="68">
        <f>SUM(Tableau2[[#This Row],[LPR 2021 - repyramidage (agents ITRF)]:[Congé pour projet pédagogique 
EAP 2021]])</f>
        <v>524052.00000000012</v>
      </c>
      <c r="N49" s="59"/>
      <c r="O49" s="87"/>
      <c r="P49" s="87">
        <v>32000</v>
      </c>
      <c r="Q49" s="89">
        <f>Tableau2[[#This Row],[AAP hybridation des formations (P.363)]]+P49</f>
        <v>32000</v>
      </c>
      <c r="R49" s="91">
        <f>Tableau2[[#This Row],[TOTAL Plan de relance (P.363 et P.364)]]/$R$4</f>
        <v>5.333333333333333</v>
      </c>
      <c r="S49" s="57">
        <v>60099436</v>
      </c>
      <c r="T49" s="57">
        <v>5227171</v>
      </c>
      <c r="U49" s="57">
        <v>60445</v>
      </c>
      <c r="V49" s="57">
        <v>100000</v>
      </c>
      <c r="W49" s="89">
        <f>SUM(Tableau2[[#This Row],[Masse salariale]:[Immobilier (sécurité, accessibilité, loyers, dévolution, Epaurif)]])</f>
        <v>65487052</v>
      </c>
      <c r="X49" s="122">
        <f>Tableau2[[#This Row],[Masse salariale]]+Tableau2[[#This Row],[Actions d''accompagnement ]]</f>
        <v>60159881</v>
      </c>
    </row>
    <row r="50" spans="1:27" s="52" customFormat="1" ht="23.25" customHeight="1">
      <c r="A50" s="67"/>
      <c r="B50" s="72" t="s">
        <v>174</v>
      </c>
      <c r="C50" s="72" t="s">
        <v>173</v>
      </c>
      <c r="D50" s="72" t="s">
        <v>18</v>
      </c>
      <c r="E50" s="63">
        <v>1460</v>
      </c>
      <c r="F50" s="63">
        <v>30160</v>
      </c>
      <c r="G50" s="63">
        <v>477365</v>
      </c>
      <c r="H50" s="63">
        <v>130001</v>
      </c>
      <c r="I50" s="63">
        <v>0</v>
      </c>
      <c r="J50" s="81">
        <v>33037</v>
      </c>
      <c r="K50" s="63">
        <v>76741</v>
      </c>
      <c r="L50" s="63">
        <v>26667</v>
      </c>
      <c r="M50" s="68">
        <f>SUM(Tableau2[[#This Row],[LPR 2021 - repyramidage (agents ITRF)]:[Congé pour projet pédagogique 
EAP 2021]])</f>
        <v>775431</v>
      </c>
      <c r="N50" s="59"/>
      <c r="O50" s="63"/>
      <c r="P50" s="63">
        <v>19200</v>
      </c>
      <c r="Q50" s="68">
        <f>Tableau2[[#This Row],[AAP hybridation des formations (P.363)]]+P50</f>
        <v>19200</v>
      </c>
      <c r="R50" s="63">
        <f>Tableau2[[#This Row],[TOTAL Plan de relance (P.363 et P.364)]]/$R$4</f>
        <v>3.2</v>
      </c>
      <c r="S50" s="63">
        <v>86025159</v>
      </c>
      <c r="T50" s="63">
        <v>7199911</v>
      </c>
      <c r="U50" s="56">
        <v>115984</v>
      </c>
      <c r="V50" s="56">
        <v>225000</v>
      </c>
      <c r="W50" s="78">
        <f>SUM(Tableau2[[#This Row],[Masse salariale]:[Immobilier (sécurité, accessibilité, loyers, dévolution, Epaurif)]])</f>
        <v>93566054</v>
      </c>
      <c r="X50" s="122">
        <f>Tableau2[[#This Row],[Masse salariale]]+Tableau2[[#This Row],[Actions d''accompagnement ]]</f>
        <v>86141143</v>
      </c>
      <c r="Z50" s="49"/>
      <c r="AA50" s="49"/>
    </row>
    <row r="51" spans="1:27" ht="27" customHeight="1">
      <c r="A51" s="67"/>
      <c r="B51" s="72" t="s">
        <v>494</v>
      </c>
      <c r="C51" s="72" t="s">
        <v>41</v>
      </c>
      <c r="D51" s="72" t="s">
        <v>495</v>
      </c>
      <c r="E51" s="63">
        <v>4050</v>
      </c>
      <c r="F51" s="63">
        <v>84618</v>
      </c>
      <c r="G51" s="63">
        <v>1047453</v>
      </c>
      <c r="H51" s="63">
        <v>367379</v>
      </c>
      <c r="I51" s="63">
        <v>425000</v>
      </c>
      <c r="J51" s="81">
        <v>1462</v>
      </c>
      <c r="K51" s="63">
        <v>187468</v>
      </c>
      <c r="L51" s="63">
        <v>60000</v>
      </c>
      <c r="M51" s="68">
        <f>SUM(Tableau2[[#This Row],[LPR 2021 - repyramidage (agents ITRF)]:[Congé pour projet pédagogique 
EAP 2021]])</f>
        <v>2177430</v>
      </c>
      <c r="N51" s="59"/>
      <c r="O51" s="100"/>
      <c r="P51" s="100">
        <v>12000</v>
      </c>
      <c r="Q51" s="101">
        <f>Tableau2[[#This Row],[AAP hybridation des formations (P.363)]]+P51</f>
        <v>12000</v>
      </c>
      <c r="R51" s="91">
        <f>Tableau2[[#This Row],[TOTAL Plan de relance (P.363 et P.364)]]/$R$4</f>
        <v>2</v>
      </c>
      <c r="S51" s="57">
        <v>216006615</v>
      </c>
      <c r="T51" s="57">
        <v>19580141</v>
      </c>
      <c r="U51" s="57">
        <v>431976</v>
      </c>
      <c r="V51" s="57">
        <v>6315000</v>
      </c>
      <c r="W51" s="89">
        <f>SUM(Tableau2[[#This Row],[Masse salariale]:[Immobilier (sécurité, accessibilité, loyers, dévolution, Epaurif)]])</f>
        <v>242333732</v>
      </c>
      <c r="X51" s="122">
        <f>Tableau2[[#This Row],[Masse salariale]]+Tableau2[[#This Row],[Actions d''accompagnement ]]</f>
        <v>216438591</v>
      </c>
    </row>
    <row r="52" spans="1:27" s="52" customFormat="1" ht="23.25" customHeight="1">
      <c r="A52" s="67" t="s">
        <v>163</v>
      </c>
      <c r="B52" s="72" t="s">
        <v>545</v>
      </c>
      <c r="C52" s="72" t="s">
        <v>236</v>
      </c>
      <c r="D52" s="72" t="s">
        <v>16</v>
      </c>
      <c r="E52" s="63"/>
      <c r="F52" s="63"/>
      <c r="G52" s="63"/>
      <c r="H52" s="63"/>
      <c r="I52" s="63"/>
      <c r="J52" s="81">
        <v>0</v>
      </c>
      <c r="K52" s="63"/>
      <c r="L52" s="63"/>
      <c r="M52" s="68">
        <f>SUM(Tableau2[[#This Row],[LPR 2021 - repyramidage (agents ITRF)]:[Congé pour projet pédagogique 
EAP 2021]])</f>
        <v>0</v>
      </c>
      <c r="N52" s="59"/>
      <c r="O52" s="63">
        <v>1000000</v>
      </c>
      <c r="P52" s="63">
        <v>0</v>
      </c>
      <c r="Q52" s="68">
        <f>Tableau2[[#This Row],[AAP hybridation des formations (P.363)]]+P52</f>
        <v>1000000</v>
      </c>
      <c r="R52" s="91">
        <f>Tableau2[[#This Row],[TOTAL Plan de relance (P.363 et P.364)]]/$R$4</f>
        <v>166.66666666666666</v>
      </c>
      <c r="S52" s="63">
        <v>260418</v>
      </c>
      <c r="T52" s="63">
        <v>0</v>
      </c>
      <c r="U52" s="56">
        <v>1000000</v>
      </c>
      <c r="V52" s="56">
        <v>0</v>
      </c>
      <c r="W52" s="78">
        <f>SUM(Tableau2[[#This Row],[Masse salariale]:[Immobilier (sécurité, accessibilité, loyers, dévolution, Epaurif)]])</f>
        <v>1260418</v>
      </c>
      <c r="X52" s="122">
        <f>Tableau2[[#This Row],[Masse salariale]]+Tableau2[[#This Row],[Actions d''accompagnement ]]</f>
        <v>1260418</v>
      </c>
      <c r="Z52" s="49"/>
      <c r="AA52" s="49"/>
    </row>
    <row r="53" spans="1:27" ht="27" customHeight="1">
      <c r="A53" s="67" t="s">
        <v>78</v>
      </c>
      <c r="B53" s="72" t="s">
        <v>102</v>
      </c>
      <c r="C53" s="72" t="s">
        <v>101</v>
      </c>
      <c r="D53" s="72" t="s">
        <v>493</v>
      </c>
      <c r="E53" s="63">
        <v>2000</v>
      </c>
      <c r="F53" s="63">
        <v>24688</v>
      </c>
      <c r="G53" s="63">
        <v>308066</v>
      </c>
      <c r="H53" s="63">
        <v>0</v>
      </c>
      <c r="I53" s="63">
        <v>0</v>
      </c>
      <c r="J53" s="81">
        <v>0</v>
      </c>
      <c r="K53" s="63">
        <v>37517</v>
      </c>
      <c r="L53" s="63">
        <v>16667</v>
      </c>
      <c r="M53" s="68">
        <f>SUM(Tableau2[[#This Row],[LPR 2021 - repyramidage (agents ITRF)]:[Congé pour projet pédagogique 
EAP 2021]])</f>
        <v>388938</v>
      </c>
      <c r="N53" s="59"/>
      <c r="O53" s="45">
        <v>1000000</v>
      </c>
      <c r="P53" s="45">
        <v>0</v>
      </c>
      <c r="Q53" s="79">
        <f>Tableau2[[#This Row],[AAP hybridation des formations (P.363)]]+P53</f>
        <v>1000000</v>
      </c>
      <c r="R53" s="91">
        <f>Tableau2[[#This Row],[TOTAL Plan de relance (P.363 et P.364)]]/$R$4</f>
        <v>166.66666666666666</v>
      </c>
      <c r="S53" s="57">
        <v>70019560</v>
      </c>
      <c r="T53" s="57">
        <v>8585519</v>
      </c>
      <c r="U53" s="57">
        <v>1117244</v>
      </c>
      <c r="V53" s="57">
        <v>125000</v>
      </c>
      <c r="W53" s="89">
        <f>SUM(Tableau2[[#This Row],[Masse salariale]:[Immobilier (sécurité, accessibilité, loyers, dévolution, Epaurif)]])</f>
        <v>79847323</v>
      </c>
      <c r="X53" s="122">
        <f>Tableau2[[#This Row],[Masse salariale]]+Tableau2[[#This Row],[Actions d''accompagnement ]]</f>
        <v>71136804</v>
      </c>
    </row>
    <row r="54" spans="1:27" s="52" customFormat="1" ht="23.25" customHeight="1">
      <c r="A54" s="67" t="s">
        <v>474</v>
      </c>
      <c r="B54" s="72" t="s">
        <v>523</v>
      </c>
      <c r="C54" s="72" t="s">
        <v>524</v>
      </c>
      <c r="D54" s="72" t="s">
        <v>567</v>
      </c>
      <c r="E54" s="63"/>
      <c r="F54" s="63"/>
      <c r="G54" s="63"/>
      <c r="H54" s="63">
        <v>0</v>
      </c>
      <c r="I54" s="63">
        <v>0</v>
      </c>
      <c r="J54" s="81">
        <v>108929</v>
      </c>
      <c r="K54" s="63">
        <v>0</v>
      </c>
      <c r="L54" s="63"/>
      <c r="M54" s="68">
        <f>SUM(Tableau2[[#This Row],[LPR 2021 - repyramidage (agents ITRF)]:[Congé pour projet pédagogique 
EAP 2021]])</f>
        <v>108929</v>
      </c>
      <c r="N54" s="59"/>
      <c r="O54" s="63">
        <v>1000000</v>
      </c>
      <c r="P54" s="63">
        <v>0</v>
      </c>
      <c r="Q54" s="68">
        <f>Tableau2[[#This Row],[AAP hybridation des formations (P.363)]]+P54</f>
        <v>1000000</v>
      </c>
      <c r="R54" s="63">
        <f>Tableau2[[#This Row],[TOTAL Plan de relance (P.363 et P.364)]]/$R$4</f>
        <v>166.66666666666666</v>
      </c>
      <c r="S54" s="63">
        <v>163394</v>
      </c>
      <c r="T54" s="63">
        <v>0</v>
      </c>
      <c r="U54" s="56">
        <v>1000000</v>
      </c>
      <c r="V54" s="56">
        <v>0</v>
      </c>
      <c r="W54" s="78">
        <f>SUM(Tableau2[[#This Row],[Masse salariale]:[Immobilier (sécurité, accessibilité, loyers, dévolution, Epaurif)]])</f>
        <v>1163394</v>
      </c>
      <c r="X54" s="122">
        <f>Tableau2[[#This Row],[Masse salariale]]+Tableau2[[#This Row],[Actions d''accompagnement ]]</f>
        <v>1163394</v>
      </c>
      <c r="Z54" s="49"/>
      <c r="AA54" s="49"/>
    </row>
    <row r="55" spans="1:27" ht="27" customHeight="1">
      <c r="A55" s="67" t="s">
        <v>169</v>
      </c>
      <c r="B55" s="72" t="s">
        <v>496</v>
      </c>
      <c r="C55" s="72" t="s">
        <v>257</v>
      </c>
      <c r="D55" s="72" t="s">
        <v>497</v>
      </c>
      <c r="E55" s="63">
        <v>324</v>
      </c>
      <c r="F55" s="63">
        <v>2499</v>
      </c>
      <c r="G55" s="63">
        <v>0</v>
      </c>
      <c r="H55" s="63">
        <v>0</v>
      </c>
      <c r="I55" s="63">
        <v>0</v>
      </c>
      <c r="J55" s="81">
        <v>36133</v>
      </c>
      <c r="K55" s="63">
        <v>420</v>
      </c>
      <c r="L55" s="63"/>
      <c r="M55" s="68">
        <f>SUM(Tableau2[[#This Row],[LPR 2021 - repyramidage (agents ITRF)]:[Congé pour projet pédagogique 
EAP 2021]])</f>
        <v>39376</v>
      </c>
      <c r="N55" s="59"/>
      <c r="O55" s="45">
        <v>1000000</v>
      </c>
      <c r="P55" s="45">
        <v>0</v>
      </c>
      <c r="Q55" s="79">
        <f>Tableau2[[#This Row],[AAP hybridation des formations (P.363)]]+P55</f>
        <v>1000000</v>
      </c>
      <c r="R55" s="91">
        <f>Tableau2[[#This Row],[TOTAL Plan de relance (P.363 et P.364)]]/$R$4</f>
        <v>166.66666666666666</v>
      </c>
      <c r="S55" s="57">
        <v>6131946</v>
      </c>
      <c r="T55" s="57">
        <v>144051</v>
      </c>
      <c r="U55" s="57">
        <v>1275666</v>
      </c>
      <c r="V55" s="57">
        <v>0</v>
      </c>
      <c r="W55" s="89">
        <f>SUM(Tableau2[[#This Row],[Masse salariale]:[Immobilier (sécurité, accessibilité, loyers, dévolution, Epaurif)]])</f>
        <v>7551663</v>
      </c>
      <c r="X55" s="122">
        <f>Tableau2[[#This Row],[Masse salariale]]+Tableau2[[#This Row],[Actions d''accompagnement ]]</f>
        <v>7407612</v>
      </c>
    </row>
    <row r="56" spans="1:27" s="52" customFormat="1" ht="23.25" customHeight="1">
      <c r="A56" s="67" t="s">
        <v>280</v>
      </c>
      <c r="B56" s="72" t="s">
        <v>256</v>
      </c>
      <c r="C56" s="72" t="s">
        <v>255</v>
      </c>
      <c r="D56" s="72" t="s">
        <v>497</v>
      </c>
      <c r="E56" s="63"/>
      <c r="F56" s="63"/>
      <c r="G56" s="63"/>
      <c r="H56" s="63">
        <v>0</v>
      </c>
      <c r="I56" s="63">
        <v>0</v>
      </c>
      <c r="J56" s="81">
        <v>0</v>
      </c>
      <c r="K56" s="63">
        <v>0</v>
      </c>
      <c r="L56" s="63">
        <v>23333</v>
      </c>
      <c r="M56" s="68">
        <f>SUM(Tableau2[[#This Row],[LPR 2021 - repyramidage (agents ITRF)]:[Congé pour projet pédagogique 
EAP 2021]])</f>
        <v>23333</v>
      </c>
      <c r="N56" s="59"/>
      <c r="O56" s="63">
        <v>1000000</v>
      </c>
      <c r="P56" s="63">
        <v>0</v>
      </c>
      <c r="Q56" s="68">
        <f>Tableau2[[#This Row],[AAP hybridation des formations (P.363)]]+P56</f>
        <v>1000000</v>
      </c>
      <c r="R56" s="63">
        <f>Tableau2[[#This Row],[TOTAL Plan de relance (P.363 et P.364)]]/$R$4</f>
        <v>166.66666666666666</v>
      </c>
      <c r="S56" s="63">
        <v>8800645</v>
      </c>
      <c r="T56" s="63">
        <v>9361098</v>
      </c>
      <c r="U56" s="56">
        <v>1037122</v>
      </c>
      <c r="V56" s="56">
        <v>120000</v>
      </c>
      <c r="W56" s="78">
        <f>SUM(Tableau2[[#This Row],[Masse salariale]:[Immobilier (sécurité, accessibilité, loyers, dévolution, Epaurif)]])</f>
        <v>19318865</v>
      </c>
      <c r="X56" s="122">
        <f>Tableau2[[#This Row],[Masse salariale]]+Tableau2[[#This Row],[Actions d''accompagnement ]]</f>
        <v>9837767</v>
      </c>
      <c r="Z56" s="49"/>
      <c r="AA56" s="49"/>
    </row>
    <row r="57" spans="1:27" ht="27" customHeight="1">
      <c r="A57" s="67" t="s">
        <v>292</v>
      </c>
      <c r="B57" s="72" t="s">
        <v>531</v>
      </c>
      <c r="C57" s="72" t="s">
        <v>149</v>
      </c>
      <c r="D57" s="72" t="s">
        <v>531</v>
      </c>
      <c r="E57" s="63">
        <v>0</v>
      </c>
      <c r="F57" s="63">
        <v>0</v>
      </c>
      <c r="G57" s="63">
        <v>76680</v>
      </c>
      <c r="H57" s="63">
        <v>0</v>
      </c>
      <c r="I57" s="63">
        <v>105000</v>
      </c>
      <c r="J57" s="81">
        <v>163</v>
      </c>
      <c r="K57" s="63">
        <v>15480</v>
      </c>
      <c r="L57" s="63">
        <v>3333</v>
      </c>
      <c r="M57" s="68">
        <f>SUM(Tableau2[[#This Row],[LPR 2021 - repyramidage (agents ITRF)]:[Congé pour projet pédagogique 
EAP 2021]])</f>
        <v>200656</v>
      </c>
      <c r="N57" s="59"/>
      <c r="O57" s="87">
        <v>1000000</v>
      </c>
      <c r="P57" s="87">
        <v>0</v>
      </c>
      <c r="Q57" s="89">
        <f>Tableau2[[#This Row],[AAP hybridation des formations (P.363)]]+P57</f>
        <v>1000000</v>
      </c>
      <c r="R57" s="91">
        <f>Tableau2[[#This Row],[TOTAL Plan de relance (P.363 et P.364)]]/$R$4</f>
        <v>166.66666666666666</v>
      </c>
      <c r="S57" s="57">
        <v>24931492</v>
      </c>
      <c r="T57" s="57">
        <v>2202212</v>
      </c>
      <c r="U57" s="57">
        <v>1117820</v>
      </c>
      <c r="V57" s="57">
        <v>155000</v>
      </c>
      <c r="W57" s="89">
        <f>SUM(Tableau2[[#This Row],[Masse salariale]:[Immobilier (sécurité, accessibilité, loyers, dévolution, Epaurif)]])</f>
        <v>28406524</v>
      </c>
      <c r="X57" s="122">
        <f>Tableau2[[#This Row],[Masse salariale]]+Tableau2[[#This Row],[Actions d''accompagnement ]]</f>
        <v>26049312</v>
      </c>
    </row>
    <row r="58" spans="1:27" s="52" customFormat="1" ht="23.25" customHeight="1">
      <c r="A58" s="67" t="s">
        <v>101</v>
      </c>
      <c r="B58" s="72" t="s">
        <v>499</v>
      </c>
      <c r="C58" s="72" t="s">
        <v>298</v>
      </c>
      <c r="D58" s="72" t="s">
        <v>500</v>
      </c>
      <c r="E58" s="63">
        <v>352</v>
      </c>
      <c r="F58" s="63">
        <v>3439</v>
      </c>
      <c r="G58" s="63">
        <v>0</v>
      </c>
      <c r="H58" s="63">
        <v>0</v>
      </c>
      <c r="I58" s="63">
        <v>0</v>
      </c>
      <c r="J58" s="81">
        <v>201</v>
      </c>
      <c r="K58" s="63">
        <v>683</v>
      </c>
      <c r="L58" s="63"/>
      <c r="M58" s="68">
        <f>SUM(Tableau2[[#This Row],[LPR 2021 - repyramidage (agents ITRF)]:[Congé pour projet pédagogique 
EAP 2021]])</f>
        <v>4675</v>
      </c>
      <c r="N58" s="59"/>
      <c r="O58" s="88">
        <v>1000000</v>
      </c>
      <c r="P58" s="88">
        <v>0</v>
      </c>
      <c r="Q58" s="90">
        <f>Tableau2[[#This Row],[AAP hybridation des formations (P.363)]]+P58</f>
        <v>1000000</v>
      </c>
      <c r="R58" s="91">
        <f>Tableau2[[#This Row],[TOTAL Plan de relance (P.363 et P.364)]]/$R$4</f>
        <v>166.66666666666666</v>
      </c>
      <c r="S58" s="63">
        <v>5847761</v>
      </c>
      <c r="T58" s="63">
        <v>911269</v>
      </c>
      <c r="U58" s="56">
        <v>1070000</v>
      </c>
      <c r="V58" s="56">
        <v>0</v>
      </c>
      <c r="W58" s="78">
        <f>SUM(Tableau2[[#This Row],[Masse salariale]:[Immobilier (sécurité, accessibilité, loyers, dévolution, Epaurif)]])</f>
        <v>7829030</v>
      </c>
      <c r="X58" s="122">
        <f>Tableau2[[#This Row],[Masse salariale]]+Tableau2[[#This Row],[Actions d''accompagnement ]]</f>
        <v>6917761</v>
      </c>
      <c r="Z58" s="49"/>
      <c r="AA58" s="49"/>
    </row>
    <row r="59" spans="1:27" ht="27" customHeight="1">
      <c r="A59" s="67" t="s">
        <v>206</v>
      </c>
      <c r="B59" s="72" t="s">
        <v>14</v>
      </c>
      <c r="C59" s="72" t="s">
        <v>13</v>
      </c>
      <c r="D59" s="72" t="s">
        <v>1</v>
      </c>
      <c r="E59" s="63">
        <v>773</v>
      </c>
      <c r="F59" s="63">
        <v>15092</v>
      </c>
      <c r="G59" s="63">
        <v>246816</v>
      </c>
      <c r="H59" s="63">
        <v>404171</v>
      </c>
      <c r="I59" s="63">
        <v>0</v>
      </c>
      <c r="J59" s="81">
        <v>0</v>
      </c>
      <c r="K59" s="63">
        <v>41147</v>
      </c>
      <c r="L59" s="63">
        <v>10000</v>
      </c>
      <c r="M59" s="68">
        <f>SUM(Tableau2[[#This Row],[LPR 2021 - repyramidage (agents ITRF)]:[Congé pour projet pédagogique 
EAP 2021]])</f>
        <v>717999</v>
      </c>
      <c r="N59" s="59"/>
      <c r="O59" s="87"/>
      <c r="P59" s="87"/>
      <c r="Q59" s="89">
        <f>Tableau2[[#This Row],[AAP hybridation des formations (P.363)]]+P59</f>
        <v>0</v>
      </c>
      <c r="R59" s="91"/>
      <c r="S59" s="57">
        <v>47089444</v>
      </c>
      <c r="T59" s="57">
        <v>3974348</v>
      </c>
      <c r="U59" s="57">
        <v>73809</v>
      </c>
      <c r="V59" s="57">
        <v>255000</v>
      </c>
      <c r="W59" s="89">
        <f>SUM(Tableau2[[#This Row],[Masse salariale]:[Immobilier (sécurité, accessibilité, loyers, dévolution, Epaurif)]])</f>
        <v>51392601</v>
      </c>
      <c r="X59" s="122">
        <f>Tableau2[[#This Row],[Masse salariale]]+Tableau2[[#This Row],[Actions d''accompagnement ]]</f>
        <v>47163253</v>
      </c>
    </row>
    <row r="60" spans="1:27" s="52" customFormat="1" ht="23.25" customHeight="1">
      <c r="A60" s="67" t="s">
        <v>62</v>
      </c>
      <c r="B60" s="72" t="s">
        <v>58</v>
      </c>
      <c r="C60" s="72" t="s">
        <v>57</v>
      </c>
      <c r="D60" s="72" t="s">
        <v>1</v>
      </c>
      <c r="E60" s="63">
        <v>420</v>
      </c>
      <c r="F60" s="63">
        <v>3992</v>
      </c>
      <c r="G60" s="63">
        <v>56408</v>
      </c>
      <c r="H60" s="63">
        <v>0</v>
      </c>
      <c r="I60" s="63">
        <v>0</v>
      </c>
      <c r="J60" s="81">
        <v>0</v>
      </c>
      <c r="K60" s="63">
        <v>4354</v>
      </c>
      <c r="L60" s="63">
        <v>3333</v>
      </c>
      <c r="M60" s="68">
        <f>SUM(Tableau2[[#This Row],[LPR 2021 - repyramidage (agents ITRF)]:[Congé pour projet pédagogique 
EAP 2021]])</f>
        <v>68507</v>
      </c>
      <c r="N60" s="59"/>
      <c r="O60" s="88"/>
      <c r="P60" s="88"/>
      <c r="Q60" s="90">
        <f>Tableau2[[#This Row],[AAP hybridation des formations (P.363)]]+P60</f>
        <v>0</v>
      </c>
      <c r="R60" s="88"/>
      <c r="S60" s="63">
        <v>12893406</v>
      </c>
      <c r="T60" s="63">
        <v>1549592</v>
      </c>
      <c r="U60" s="56">
        <v>22748</v>
      </c>
      <c r="V60" s="56">
        <v>250000</v>
      </c>
      <c r="W60" s="78">
        <f>SUM(Tableau2[[#This Row],[Masse salariale]:[Immobilier (sécurité, accessibilité, loyers, dévolution, Epaurif)]])</f>
        <v>14715746</v>
      </c>
      <c r="X60" s="122">
        <f>Tableau2[[#This Row],[Masse salariale]]+Tableau2[[#This Row],[Actions d''accompagnement ]]</f>
        <v>12916154</v>
      </c>
      <c r="Z60" s="49"/>
      <c r="AA60" s="49"/>
    </row>
    <row r="61" spans="1:27" ht="27" customHeight="1">
      <c r="A61" s="67" t="s">
        <v>143</v>
      </c>
      <c r="B61" s="72" t="s">
        <v>219</v>
      </c>
      <c r="C61" s="72" t="s">
        <v>218</v>
      </c>
      <c r="D61" s="72" t="s">
        <v>1</v>
      </c>
      <c r="E61" s="63"/>
      <c r="F61" s="63"/>
      <c r="G61" s="63"/>
      <c r="H61" s="63">
        <v>0</v>
      </c>
      <c r="I61" s="63">
        <v>0</v>
      </c>
      <c r="J61" s="81">
        <v>0</v>
      </c>
      <c r="K61" s="63">
        <v>0</v>
      </c>
      <c r="L61" s="63">
        <v>1111</v>
      </c>
      <c r="M61" s="68">
        <f>SUM(Tableau2[[#This Row],[LPR 2021 - repyramidage (agents ITRF)]:[Congé pour projet pédagogique 
EAP 2021]])</f>
        <v>1111</v>
      </c>
      <c r="N61" s="59"/>
      <c r="O61" s="87"/>
      <c r="P61" s="87"/>
      <c r="Q61" s="89">
        <f>Tableau2[[#This Row],[AAP hybridation des formations (P.363)]]+P61</f>
        <v>0</v>
      </c>
      <c r="R61" s="91"/>
      <c r="S61" s="57">
        <v>1482820</v>
      </c>
      <c r="T61" s="57">
        <v>645453</v>
      </c>
      <c r="U61" s="57">
        <v>0</v>
      </c>
      <c r="V61" s="57">
        <v>200000</v>
      </c>
      <c r="W61" s="89">
        <f>SUM(Tableau2[[#This Row],[Masse salariale]:[Immobilier (sécurité, accessibilité, loyers, dévolution, Epaurif)]])</f>
        <v>2328273</v>
      </c>
      <c r="X61" s="122">
        <f>Tableau2[[#This Row],[Masse salariale]]+Tableau2[[#This Row],[Actions d''accompagnement ]]</f>
        <v>1482820</v>
      </c>
    </row>
    <row r="62" spans="1:27" s="52" customFormat="1" ht="23.25" customHeight="1">
      <c r="A62" s="67"/>
      <c r="B62" s="72" t="s">
        <v>209</v>
      </c>
      <c r="C62" s="72" t="s">
        <v>208</v>
      </c>
      <c r="D62" s="72" t="s">
        <v>4</v>
      </c>
      <c r="E62" s="63">
        <v>914</v>
      </c>
      <c r="F62" s="63">
        <v>13233</v>
      </c>
      <c r="G62" s="63">
        <v>167312</v>
      </c>
      <c r="H62" s="63">
        <v>0</v>
      </c>
      <c r="I62" s="63">
        <v>0</v>
      </c>
      <c r="J62" s="81">
        <v>17939</v>
      </c>
      <c r="K62" s="63">
        <v>24594</v>
      </c>
      <c r="L62" s="63">
        <v>6667</v>
      </c>
      <c r="M62" s="68">
        <f>SUM(Tableau2[[#This Row],[LPR 2021 - repyramidage (agents ITRF)]:[Congé pour projet pédagogique 
EAP 2021]])</f>
        <v>230659</v>
      </c>
      <c r="N62" s="59"/>
      <c r="O62" s="63"/>
      <c r="P62" s="63"/>
      <c r="Q62" s="68">
        <f>Tableau2[[#This Row],[AAP hybridation des formations (P.363)]]+P62</f>
        <v>0</v>
      </c>
      <c r="R62" s="91"/>
      <c r="S62" s="63">
        <v>43036622</v>
      </c>
      <c r="T62" s="63">
        <v>4799775</v>
      </c>
      <c r="U62" s="56">
        <v>85844</v>
      </c>
      <c r="V62" s="56">
        <v>150000</v>
      </c>
      <c r="W62" s="78">
        <f>SUM(Tableau2[[#This Row],[Masse salariale]:[Immobilier (sécurité, accessibilité, loyers, dévolution, Epaurif)]])</f>
        <v>48072241</v>
      </c>
      <c r="X62" s="122">
        <f>Tableau2[[#This Row],[Masse salariale]]+Tableau2[[#This Row],[Actions d''accompagnement ]]</f>
        <v>43122466</v>
      </c>
      <c r="Z62" s="49"/>
      <c r="AA62" s="49"/>
    </row>
    <row r="63" spans="1:27" ht="27" customHeight="1">
      <c r="A63" s="67" t="s">
        <v>255</v>
      </c>
      <c r="B63" s="72" t="s">
        <v>221</v>
      </c>
      <c r="C63" s="72" t="s">
        <v>220</v>
      </c>
      <c r="D63" s="72" t="s">
        <v>16</v>
      </c>
      <c r="E63" s="63"/>
      <c r="F63" s="63"/>
      <c r="G63" s="63"/>
      <c r="H63" s="63">
        <v>0</v>
      </c>
      <c r="I63" s="63">
        <v>0</v>
      </c>
      <c r="J63" s="81">
        <v>0</v>
      </c>
      <c r="K63" s="63">
        <v>0</v>
      </c>
      <c r="L63" s="63">
        <v>3333</v>
      </c>
      <c r="M63" s="68">
        <f>SUM(Tableau2[[#This Row],[LPR 2021 - repyramidage (agents ITRF)]:[Congé pour projet pédagogique 
EAP 2021]])</f>
        <v>3333</v>
      </c>
      <c r="N63" s="59"/>
      <c r="O63" s="45"/>
      <c r="P63" s="45"/>
      <c r="Q63" s="79">
        <f>Tableau2[[#This Row],[AAP hybridation des formations (P.363)]]+P63</f>
        <v>0</v>
      </c>
      <c r="R63" s="60"/>
      <c r="S63" s="57">
        <v>1308903</v>
      </c>
      <c r="T63" s="57">
        <v>1759979</v>
      </c>
      <c r="U63" s="57">
        <v>0</v>
      </c>
      <c r="V63" s="57">
        <v>85000</v>
      </c>
      <c r="W63" s="58">
        <f>SUM(Tableau2[[#This Row],[Masse salariale]:[Immobilier (sécurité, accessibilité, loyers, dévolution, Epaurif)]])</f>
        <v>3153882</v>
      </c>
      <c r="X63" s="122">
        <f>Tableau2[[#This Row],[Masse salariale]]+Tableau2[[#This Row],[Actions d''accompagnement ]]</f>
        <v>1308903</v>
      </c>
    </row>
    <row r="64" spans="1:27" s="52" customFormat="1" ht="23.25" customHeight="1">
      <c r="A64" s="67"/>
      <c r="B64" s="72" t="s">
        <v>207</v>
      </c>
      <c r="C64" s="72" t="s">
        <v>206</v>
      </c>
      <c r="D64" s="72" t="s">
        <v>16</v>
      </c>
      <c r="E64" s="63">
        <v>519</v>
      </c>
      <c r="F64" s="63">
        <v>7001</v>
      </c>
      <c r="G64" s="63">
        <v>106120</v>
      </c>
      <c r="H64" s="63">
        <v>0</v>
      </c>
      <c r="I64" s="63">
        <v>0</v>
      </c>
      <c r="J64" s="81">
        <v>164</v>
      </c>
      <c r="K64" s="63">
        <v>14203</v>
      </c>
      <c r="L64" s="63">
        <v>6667</v>
      </c>
      <c r="M64" s="68">
        <f>SUM(Tableau2[[#This Row],[LPR 2021 - repyramidage (agents ITRF)]:[Congé pour projet pédagogique 
EAP 2021]])</f>
        <v>134674</v>
      </c>
      <c r="N64" s="59"/>
      <c r="O64" s="103"/>
      <c r="P64" s="103"/>
      <c r="Q64" s="73">
        <f>Tableau2[[#This Row],[AAP hybridation des formations (P.363)]]+P64</f>
        <v>0</v>
      </c>
      <c r="R64" s="103"/>
      <c r="S64" s="63">
        <v>26628124</v>
      </c>
      <c r="T64" s="63">
        <v>2296716</v>
      </c>
      <c r="U64" s="56">
        <v>0</v>
      </c>
      <c r="V64" s="56">
        <v>100000</v>
      </c>
      <c r="W64" s="78">
        <f>SUM(Tableau2[[#This Row],[Masse salariale]:[Immobilier (sécurité, accessibilité, loyers, dévolution, Epaurif)]])</f>
        <v>29024840</v>
      </c>
      <c r="X64" s="122">
        <f>Tableau2[[#This Row],[Masse salariale]]+Tableau2[[#This Row],[Actions d''accompagnement ]]</f>
        <v>26628124</v>
      </c>
      <c r="Z64" s="49"/>
      <c r="AA64" s="49"/>
    </row>
    <row r="65" spans="1:27" ht="27" customHeight="1">
      <c r="A65" s="67" t="s">
        <v>6</v>
      </c>
      <c r="B65" s="72" t="s">
        <v>223</v>
      </c>
      <c r="C65" s="72" t="s">
        <v>222</v>
      </c>
      <c r="D65" s="72" t="s">
        <v>18</v>
      </c>
      <c r="E65" s="63"/>
      <c r="F65" s="63"/>
      <c r="G65" s="63"/>
      <c r="H65" s="63">
        <v>0</v>
      </c>
      <c r="I65" s="63">
        <v>0</v>
      </c>
      <c r="J65" s="81">
        <v>30008</v>
      </c>
      <c r="K65" s="63">
        <v>0</v>
      </c>
      <c r="L65" s="63">
        <v>3333</v>
      </c>
      <c r="M65" s="68">
        <f>SUM(Tableau2[[#This Row],[LPR 2021 - repyramidage (agents ITRF)]:[Congé pour projet pédagogique 
EAP 2021]])</f>
        <v>33341</v>
      </c>
      <c r="N65" s="59"/>
      <c r="O65" s="45"/>
      <c r="P65" s="45"/>
      <c r="Q65" s="79">
        <f>Tableau2[[#This Row],[AAP hybridation des formations (P.363)]]+P65</f>
        <v>0</v>
      </c>
      <c r="R65" s="60"/>
      <c r="S65" s="57">
        <v>1373220</v>
      </c>
      <c r="T65" s="57">
        <v>468715</v>
      </c>
      <c r="U65" s="57">
        <v>0</v>
      </c>
      <c r="V65" s="57">
        <v>0</v>
      </c>
      <c r="W65" s="58">
        <f>SUM(Tableau2[[#This Row],[Masse salariale]:[Immobilier (sécurité, accessibilité, loyers, dévolution, Epaurif)]])</f>
        <v>1841935</v>
      </c>
      <c r="X65" s="122">
        <f>Tableau2[[#This Row],[Masse salariale]]+Tableau2[[#This Row],[Actions d''accompagnement ]]</f>
        <v>1373220</v>
      </c>
    </row>
    <row r="66" spans="1:27" s="52" customFormat="1" ht="23.25" customHeight="1">
      <c r="A66" s="67" t="s">
        <v>157</v>
      </c>
      <c r="B66" s="72" t="s">
        <v>520</v>
      </c>
      <c r="C66" s="72" t="s">
        <v>224</v>
      </c>
      <c r="D66" s="72" t="s">
        <v>18</v>
      </c>
      <c r="E66" s="63"/>
      <c r="F66" s="63"/>
      <c r="G66" s="63"/>
      <c r="H66" s="63">
        <v>0</v>
      </c>
      <c r="I66" s="63">
        <v>0</v>
      </c>
      <c r="J66" s="81">
        <v>0</v>
      </c>
      <c r="K66" s="63">
        <v>0</v>
      </c>
      <c r="L66" s="63">
        <v>10000</v>
      </c>
      <c r="M66" s="68">
        <f>SUM(Tableau2[[#This Row],[LPR 2021 - repyramidage (agents ITRF)]:[Congé pour projet pédagogique 
EAP 2021]])</f>
        <v>10000</v>
      </c>
      <c r="N66" s="59"/>
      <c r="O66" s="63"/>
      <c r="P66" s="63"/>
      <c r="Q66" s="68">
        <f>Tableau2[[#This Row],[AAP hybridation des formations (P.363)]]+P66</f>
        <v>0</v>
      </c>
      <c r="R66" s="63"/>
      <c r="S66" s="63">
        <v>2537463</v>
      </c>
      <c r="T66" s="63">
        <v>3996215</v>
      </c>
      <c r="U66" s="56">
        <v>39809</v>
      </c>
      <c r="V66" s="56">
        <v>150000</v>
      </c>
      <c r="W66" s="78">
        <f>SUM(Tableau2[[#This Row],[Masse salariale]:[Immobilier (sécurité, accessibilité, loyers, dévolution, Epaurif)]])</f>
        <v>6723487</v>
      </c>
      <c r="X66" s="122">
        <f>Tableau2[[#This Row],[Masse salariale]]+Tableau2[[#This Row],[Actions d''accompagnement ]]</f>
        <v>2577272</v>
      </c>
      <c r="Z66" s="49"/>
      <c r="AA66" s="49"/>
    </row>
    <row r="67" spans="1:27" ht="27" customHeight="1">
      <c r="A67" s="67"/>
      <c r="B67" s="72" t="s">
        <v>192</v>
      </c>
      <c r="C67" s="72" t="s">
        <v>191</v>
      </c>
      <c r="D67" s="72" t="s">
        <v>495</v>
      </c>
      <c r="E67" s="63">
        <v>263</v>
      </c>
      <c r="F67" s="63">
        <v>2936</v>
      </c>
      <c r="G67" s="63">
        <v>60737</v>
      </c>
      <c r="H67" s="63">
        <v>0</v>
      </c>
      <c r="I67" s="63">
        <v>0</v>
      </c>
      <c r="J67" s="81">
        <v>0</v>
      </c>
      <c r="K67" s="63">
        <v>7664</v>
      </c>
      <c r="L67" s="63">
        <v>3333</v>
      </c>
      <c r="M67" s="68">
        <f>SUM(Tableau2[[#This Row],[LPR 2021 - repyramidage (agents ITRF)]:[Congé pour projet pédagogique 
EAP 2021]])</f>
        <v>74933</v>
      </c>
      <c r="N67" s="59"/>
      <c r="O67" s="45"/>
      <c r="P67" s="45"/>
      <c r="Q67" s="79">
        <f>Tableau2[[#This Row],[AAP hybridation des formations (P.363)]]+P67</f>
        <v>0</v>
      </c>
      <c r="R67" s="60"/>
      <c r="S67" s="57">
        <v>11576491</v>
      </c>
      <c r="T67" s="57">
        <v>1659567</v>
      </c>
      <c r="U67" s="57">
        <v>0</v>
      </c>
      <c r="V67" s="57">
        <v>120000</v>
      </c>
      <c r="W67" s="58">
        <f>SUM(Tableau2[[#This Row],[Masse salariale]:[Immobilier (sécurité, accessibilité, loyers, dévolution, Epaurif)]])</f>
        <v>13356058</v>
      </c>
      <c r="X67" s="122">
        <f>Tableau2[[#This Row],[Masse salariale]]+Tableau2[[#This Row],[Actions d''accompagnement ]]</f>
        <v>11576491</v>
      </c>
    </row>
    <row r="68" spans="1:27" s="52" customFormat="1" ht="23.25" customHeight="1">
      <c r="A68" s="67" t="s">
        <v>96</v>
      </c>
      <c r="B68" s="72" t="s">
        <v>50</v>
      </c>
      <c r="C68" s="72" t="s">
        <v>49</v>
      </c>
      <c r="D68" s="72" t="s">
        <v>501</v>
      </c>
      <c r="E68" s="63">
        <v>1792</v>
      </c>
      <c r="F68" s="63">
        <v>23454</v>
      </c>
      <c r="G68" s="63">
        <v>185451</v>
      </c>
      <c r="H68" s="63">
        <v>0</v>
      </c>
      <c r="I68" s="63">
        <v>129000</v>
      </c>
      <c r="J68" s="81">
        <v>543824</v>
      </c>
      <c r="K68" s="63">
        <v>31691</v>
      </c>
      <c r="L68" s="63">
        <v>10000</v>
      </c>
      <c r="M68" s="68">
        <f>SUM(Tableau2[[#This Row],[LPR 2021 - repyramidage (agents ITRF)]:[Congé pour projet pédagogique 
EAP 2021]])</f>
        <v>925212</v>
      </c>
      <c r="N68" s="59"/>
      <c r="O68" s="63"/>
      <c r="P68" s="63"/>
      <c r="Q68" s="68">
        <f>Tableau2[[#This Row],[AAP hybridation des formations (P.363)]]+P68</f>
        <v>0</v>
      </c>
      <c r="R68" s="91"/>
      <c r="S68" s="63">
        <v>40806717</v>
      </c>
      <c r="T68" s="63">
        <v>712068</v>
      </c>
      <c r="U68" s="56">
        <v>127992</v>
      </c>
      <c r="V68" s="56">
        <v>0</v>
      </c>
      <c r="W68" s="78">
        <f>SUM(Tableau2[[#This Row],[Masse salariale]:[Immobilier (sécurité, accessibilité, loyers, dévolution, Epaurif)]])</f>
        <v>41646777</v>
      </c>
      <c r="X68" s="122">
        <f>Tableau2[[#This Row],[Masse salariale]]+Tableau2[[#This Row],[Actions d''accompagnement ]]</f>
        <v>40934709</v>
      </c>
      <c r="Z68" s="49"/>
      <c r="AA68" s="49"/>
    </row>
    <row r="69" spans="1:27" ht="27" customHeight="1">
      <c r="A69" s="67" t="s">
        <v>240</v>
      </c>
      <c r="B69" s="72" t="s">
        <v>549</v>
      </c>
      <c r="C69" s="72" t="s">
        <v>26</v>
      </c>
      <c r="D69" s="72" t="s">
        <v>509</v>
      </c>
      <c r="E69" s="63"/>
      <c r="F69" s="63"/>
      <c r="G69" s="63"/>
      <c r="H69" s="63"/>
      <c r="I69" s="63"/>
      <c r="J69" s="81">
        <v>0</v>
      </c>
      <c r="K69" s="63"/>
      <c r="L69" s="63"/>
      <c r="M69" s="68">
        <f>SUM(Tableau2[[#This Row],[LPR 2021 - repyramidage (agents ITRF)]:[Congé pour projet pédagogique 
EAP 2021]])</f>
        <v>0</v>
      </c>
      <c r="N69" s="59"/>
      <c r="O69" s="87"/>
      <c r="P69" s="87"/>
      <c r="Q69" s="89">
        <f>Tableau2[[#This Row],[AAP hybridation des formations (P.363)]]+P69</f>
        <v>0</v>
      </c>
      <c r="R69" s="91"/>
      <c r="S69" s="57">
        <v>831980</v>
      </c>
      <c r="T69" s="57">
        <v>0</v>
      </c>
      <c r="U69" s="57">
        <v>29916</v>
      </c>
      <c r="V69" s="57">
        <v>0</v>
      </c>
      <c r="W69" s="89">
        <f>SUM(Tableau2[[#This Row],[Masse salariale]:[Immobilier (sécurité, accessibilité, loyers, dévolution, Epaurif)]])</f>
        <v>861896</v>
      </c>
      <c r="X69" s="122">
        <f>Tableau2[[#This Row],[Masse salariale]]+Tableau2[[#This Row],[Actions d''accompagnement ]]</f>
        <v>861896</v>
      </c>
    </row>
    <row r="70" spans="1:27" s="52" customFormat="1" ht="23.25" customHeight="1">
      <c r="A70" s="67" t="s">
        <v>9</v>
      </c>
      <c r="B70" s="72" t="s">
        <v>231</v>
      </c>
      <c r="C70" s="72" t="s">
        <v>230</v>
      </c>
      <c r="D70" s="72" t="s">
        <v>509</v>
      </c>
      <c r="E70" s="63"/>
      <c r="F70" s="63"/>
      <c r="G70" s="63"/>
      <c r="H70" s="63"/>
      <c r="I70" s="63"/>
      <c r="J70" s="81">
        <v>0</v>
      </c>
      <c r="K70" s="63"/>
      <c r="L70" s="63"/>
      <c r="M70" s="68">
        <f>SUM(Tableau2[[#This Row],[LPR 2021 - repyramidage (agents ITRF)]:[Congé pour projet pédagogique 
EAP 2021]])</f>
        <v>0</v>
      </c>
      <c r="N70" s="59"/>
      <c r="O70" s="63"/>
      <c r="P70" s="63"/>
      <c r="Q70" s="68">
        <f>Tableau2[[#This Row],[AAP hybridation des formations (P.363)]]+P70</f>
        <v>0</v>
      </c>
      <c r="R70" s="91"/>
      <c r="S70" s="63">
        <v>0</v>
      </c>
      <c r="T70" s="63">
        <v>850312</v>
      </c>
      <c r="U70" s="56">
        <v>0</v>
      </c>
      <c r="V70" s="56">
        <v>125000</v>
      </c>
      <c r="W70" s="78">
        <f>SUM(Tableau2[[#This Row],[Masse salariale]:[Immobilier (sécurité, accessibilité, loyers, dévolution, Epaurif)]])</f>
        <v>975312</v>
      </c>
      <c r="X70" s="122">
        <f>Tableau2[[#This Row],[Masse salariale]]+Tableau2[[#This Row],[Actions d''accompagnement ]]</f>
        <v>0</v>
      </c>
      <c r="Z70" s="49"/>
      <c r="AA70" s="49"/>
    </row>
    <row r="71" spans="1:27" ht="27" customHeight="1">
      <c r="A71" s="67" t="s">
        <v>53</v>
      </c>
      <c r="B71" s="72" t="s">
        <v>235</v>
      </c>
      <c r="C71" s="72" t="s">
        <v>234</v>
      </c>
      <c r="D71" s="72" t="s">
        <v>509</v>
      </c>
      <c r="E71" s="63"/>
      <c r="F71" s="63"/>
      <c r="G71" s="63"/>
      <c r="H71" s="63">
        <v>0</v>
      </c>
      <c r="I71" s="63">
        <v>0</v>
      </c>
      <c r="J71" s="81">
        <v>0</v>
      </c>
      <c r="K71" s="63">
        <v>0</v>
      </c>
      <c r="L71" s="63">
        <v>1111</v>
      </c>
      <c r="M71" s="68">
        <f>SUM(Tableau2[[#This Row],[LPR 2021 - repyramidage (agents ITRF)]:[Congé pour projet pédagogique 
EAP 2021]])</f>
        <v>1111</v>
      </c>
      <c r="N71" s="59">
        <v>0</v>
      </c>
      <c r="O71" s="87"/>
      <c r="P71" s="87"/>
      <c r="Q71" s="89">
        <f>Tableau2[[#This Row],[AAP hybridation des formations (P.363)]]+P71</f>
        <v>0</v>
      </c>
      <c r="R71" s="91">
        <v>0</v>
      </c>
      <c r="S71" s="57">
        <v>55192</v>
      </c>
      <c r="T71" s="57">
        <v>925549</v>
      </c>
      <c r="U71" s="57">
        <v>3200000</v>
      </c>
      <c r="V71" s="57">
        <v>0</v>
      </c>
      <c r="W71" s="89">
        <f>SUM(Tableau2[[#This Row],[Masse salariale]:[Immobilier (sécurité, accessibilité, loyers, dévolution, Epaurif)]])</f>
        <v>4180741</v>
      </c>
      <c r="X71" s="122">
        <f>Tableau2[[#This Row],[Masse salariale]]+Tableau2[[#This Row],[Actions d''accompagnement ]]</f>
        <v>3255192</v>
      </c>
    </row>
    <row r="72" spans="1:27" s="52" customFormat="1" ht="23.25" customHeight="1">
      <c r="A72" s="67" t="s">
        <v>244</v>
      </c>
      <c r="B72" s="72" t="s">
        <v>510</v>
      </c>
      <c r="C72" s="72" t="s">
        <v>72</v>
      </c>
      <c r="D72" s="72" t="s">
        <v>509</v>
      </c>
      <c r="E72" s="63">
        <v>665</v>
      </c>
      <c r="F72" s="63">
        <v>11453</v>
      </c>
      <c r="G72" s="63">
        <v>120489</v>
      </c>
      <c r="H72" s="63">
        <v>0</v>
      </c>
      <c r="I72" s="63">
        <v>0</v>
      </c>
      <c r="J72" s="81">
        <v>167</v>
      </c>
      <c r="K72" s="63">
        <v>17869</v>
      </c>
      <c r="L72" s="63">
        <v>6667</v>
      </c>
      <c r="M72" s="68">
        <f>SUM(Tableau2[[#This Row],[LPR 2021 - repyramidage (agents ITRF)]:[Congé pour projet pédagogique 
EAP 2021]])</f>
        <v>157310</v>
      </c>
      <c r="N72" s="59"/>
      <c r="O72" s="63"/>
      <c r="P72" s="63"/>
      <c r="Q72" s="68">
        <f>Tableau2[[#This Row],[AAP hybridation des formations (P.363)]]+P72</f>
        <v>0</v>
      </c>
      <c r="R72" s="63"/>
      <c r="S72" s="63">
        <v>75697560</v>
      </c>
      <c r="T72" s="63">
        <v>7532713</v>
      </c>
      <c r="U72" s="56">
        <v>551914</v>
      </c>
      <c r="V72" s="56">
        <v>0</v>
      </c>
      <c r="W72" s="78">
        <f>SUM(Tableau2[[#This Row],[Masse salariale]:[Immobilier (sécurité, accessibilité, loyers, dévolution, Epaurif)]])</f>
        <v>83782187</v>
      </c>
      <c r="X72" s="122">
        <f>Tableau2[[#This Row],[Masse salariale]]+Tableau2[[#This Row],[Actions d''accompagnement ]]</f>
        <v>76249474</v>
      </c>
      <c r="Z72" s="49"/>
      <c r="AA72" s="49"/>
    </row>
    <row r="73" spans="1:27" ht="27" customHeight="1">
      <c r="A73" s="67"/>
      <c r="B73" s="72" t="s">
        <v>233</v>
      </c>
      <c r="C73" s="72" t="s">
        <v>232</v>
      </c>
      <c r="D73" s="72" t="s">
        <v>509</v>
      </c>
      <c r="E73" s="63"/>
      <c r="F73" s="63"/>
      <c r="G73" s="63"/>
      <c r="H73" s="63">
        <v>0</v>
      </c>
      <c r="I73" s="63">
        <v>0</v>
      </c>
      <c r="J73" s="81">
        <v>0</v>
      </c>
      <c r="K73" s="63">
        <v>0</v>
      </c>
      <c r="L73" s="63">
        <v>3333</v>
      </c>
      <c r="M73" s="68">
        <f>SUM(Tableau2[[#This Row],[LPR 2021 - repyramidage (agents ITRF)]:[Congé pour projet pédagogique 
EAP 2021]])</f>
        <v>3333</v>
      </c>
      <c r="N73" s="59"/>
      <c r="O73" s="87"/>
      <c r="P73" s="87"/>
      <c r="Q73" s="89">
        <f>Tableau2[[#This Row],[AAP hybridation des formations (P.363)]]+P73</f>
        <v>0</v>
      </c>
      <c r="R73" s="91"/>
      <c r="S73" s="57">
        <v>1029270</v>
      </c>
      <c r="T73" s="57">
        <v>984296</v>
      </c>
      <c r="U73" s="57">
        <v>0</v>
      </c>
      <c r="V73" s="57">
        <v>120000</v>
      </c>
      <c r="W73" s="89">
        <f>SUM(Tableau2[[#This Row],[Masse salariale]:[Immobilier (sécurité, accessibilité, loyers, dévolution, Epaurif)]])</f>
        <v>2133566</v>
      </c>
      <c r="X73" s="122">
        <f>Tableau2[[#This Row],[Masse salariale]]+Tableau2[[#This Row],[Actions d''accompagnement ]]</f>
        <v>1029270</v>
      </c>
    </row>
    <row r="74" spans="1:27" s="52" customFormat="1" ht="23.25" customHeight="1">
      <c r="A74" s="67" t="s">
        <v>366</v>
      </c>
      <c r="B74" s="72" t="s">
        <v>52</v>
      </c>
      <c r="C74" s="72" t="s">
        <v>51</v>
      </c>
      <c r="D74" s="72" t="s">
        <v>52</v>
      </c>
      <c r="E74" s="63">
        <v>2715</v>
      </c>
      <c r="F74" s="63">
        <v>56082</v>
      </c>
      <c r="G74" s="63">
        <v>864636</v>
      </c>
      <c r="H74" s="63">
        <v>87983</v>
      </c>
      <c r="I74" s="63">
        <v>213800</v>
      </c>
      <c r="J74" s="81">
        <v>81226</v>
      </c>
      <c r="K74" s="63">
        <v>158580</v>
      </c>
      <c r="L74" s="63">
        <v>53333</v>
      </c>
      <c r="M74" s="68">
        <f>SUM(Tableau2[[#This Row],[LPR 2021 - repyramidage (agents ITRF)]:[Congé pour projet pédagogique 
EAP 2021]])</f>
        <v>1518355</v>
      </c>
      <c r="N74" s="59"/>
      <c r="O74" s="103"/>
      <c r="P74" s="103"/>
      <c r="Q74" s="73">
        <f>Tableau2[[#This Row],[AAP hybridation des formations (P.363)]]+P74</f>
        <v>0</v>
      </c>
      <c r="R74" s="103"/>
      <c r="S74" s="63">
        <v>179756056</v>
      </c>
      <c r="T74" s="63">
        <v>17516995</v>
      </c>
      <c r="U74" s="56">
        <v>225438</v>
      </c>
      <c r="V74" s="56">
        <v>430000</v>
      </c>
      <c r="W74" s="78">
        <f>SUM(Tableau2[[#This Row],[Masse salariale]:[Immobilier (sécurité, accessibilité, loyers, dévolution, Epaurif)]])</f>
        <v>197928489</v>
      </c>
      <c r="X74" s="122">
        <f>Tableau2[[#This Row],[Masse salariale]]+Tableau2[[#This Row],[Actions d''accompagnement ]]</f>
        <v>179981494</v>
      </c>
      <c r="Z74" s="49"/>
      <c r="AA74" s="49"/>
    </row>
    <row r="75" spans="1:27" ht="27" customHeight="1">
      <c r="A75" s="67" t="s">
        <v>261</v>
      </c>
      <c r="B75" s="72" t="s">
        <v>239</v>
      </c>
      <c r="C75" s="72" t="s">
        <v>238</v>
      </c>
      <c r="D75" s="72" t="s">
        <v>493</v>
      </c>
      <c r="E75" s="63"/>
      <c r="F75" s="63"/>
      <c r="G75" s="63"/>
      <c r="H75" s="63"/>
      <c r="I75" s="63"/>
      <c r="J75" s="81">
        <v>0</v>
      </c>
      <c r="K75" s="63"/>
      <c r="L75" s="63"/>
      <c r="M75" s="68">
        <f>SUM(Tableau2[[#This Row],[LPR 2021 - repyramidage (agents ITRF)]:[Congé pour projet pédagogique 
EAP 2021]])</f>
        <v>0</v>
      </c>
      <c r="N75" s="59"/>
      <c r="O75" s="100"/>
      <c r="P75" s="100"/>
      <c r="Q75" s="101">
        <f>Tableau2[[#This Row],[AAP hybridation des formations (P.363)]]+P75</f>
        <v>0</v>
      </c>
      <c r="R75" s="102"/>
      <c r="S75" s="57">
        <v>170557</v>
      </c>
      <c r="T75" s="57">
        <v>106886</v>
      </c>
      <c r="U75" s="57">
        <v>0</v>
      </c>
      <c r="V75" s="57">
        <v>0</v>
      </c>
      <c r="W75" s="58">
        <f>SUM(Tableau2[[#This Row],[Masse salariale]:[Immobilier (sécurité, accessibilité, loyers, dévolution, Epaurif)]])</f>
        <v>277443</v>
      </c>
      <c r="X75" s="122">
        <f>Tableau2[[#This Row],[Masse salariale]]+Tableau2[[#This Row],[Actions d''accompagnement ]]</f>
        <v>170557</v>
      </c>
    </row>
    <row r="76" spans="1:27" s="52" customFormat="1" ht="23.25" customHeight="1">
      <c r="A76" s="67" t="s">
        <v>122</v>
      </c>
      <c r="B76" s="72" t="s">
        <v>241</v>
      </c>
      <c r="C76" s="72" t="s">
        <v>240</v>
      </c>
      <c r="D76" s="72" t="s">
        <v>493</v>
      </c>
      <c r="E76" s="63"/>
      <c r="F76" s="63"/>
      <c r="G76" s="63"/>
      <c r="H76" s="63">
        <v>0</v>
      </c>
      <c r="I76" s="63">
        <v>0</v>
      </c>
      <c r="J76" s="81">
        <v>0</v>
      </c>
      <c r="K76" s="63">
        <v>0</v>
      </c>
      <c r="L76" s="63">
        <v>3333</v>
      </c>
      <c r="M76" s="68">
        <f>SUM(Tableau2[[#This Row],[LPR 2021 - repyramidage (agents ITRF)]:[Congé pour projet pédagogique 
EAP 2021]])</f>
        <v>3333</v>
      </c>
      <c r="N76" s="59"/>
      <c r="O76" s="63"/>
      <c r="P76" s="63"/>
      <c r="Q76" s="68">
        <f>Tableau2[[#This Row],[AAP hybridation des formations (P.363)]]+P76</f>
        <v>0</v>
      </c>
      <c r="R76" s="91"/>
      <c r="S76" s="63">
        <v>884350</v>
      </c>
      <c r="T76" s="63">
        <v>641453</v>
      </c>
      <c r="U76" s="56">
        <v>62557</v>
      </c>
      <c r="V76" s="56">
        <v>70000</v>
      </c>
      <c r="W76" s="78">
        <f>SUM(Tableau2[[#This Row],[Masse salariale]:[Immobilier (sécurité, accessibilité, loyers, dévolution, Epaurif)]])</f>
        <v>1658360</v>
      </c>
      <c r="X76" s="122">
        <f>Tableau2[[#This Row],[Masse salariale]]+Tableau2[[#This Row],[Actions d''accompagnement ]]</f>
        <v>946907</v>
      </c>
      <c r="Z76" s="49"/>
      <c r="AA76" s="49"/>
    </row>
    <row r="77" spans="1:27" ht="27" customHeight="1">
      <c r="A77" s="67" t="s">
        <v>220</v>
      </c>
      <c r="B77" s="72" t="s">
        <v>10</v>
      </c>
      <c r="C77" s="72" t="s">
        <v>9</v>
      </c>
      <c r="D77" s="72" t="s">
        <v>487</v>
      </c>
      <c r="E77" s="63">
        <v>1469</v>
      </c>
      <c r="F77" s="63">
        <v>28636</v>
      </c>
      <c r="G77" s="63">
        <v>330972</v>
      </c>
      <c r="H77" s="63">
        <v>50956</v>
      </c>
      <c r="I77" s="63">
        <v>571800</v>
      </c>
      <c r="J77" s="81">
        <v>506</v>
      </c>
      <c r="K77" s="63">
        <v>76561</v>
      </c>
      <c r="L77" s="63">
        <v>13333</v>
      </c>
      <c r="M77" s="68">
        <f>SUM(Tableau2[[#This Row],[LPR 2021 - repyramidage (agents ITRF)]:[Congé pour projet pédagogique 
EAP 2021]])</f>
        <v>1074233</v>
      </c>
      <c r="N77" s="59"/>
      <c r="O77" s="100"/>
      <c r="P77" s="100"/>
      <c r="Q77" s="101">
        <f>Tableau2[[#This Row],[AAP hybridation des formations (P.363)]]+P77</f>
        <v>0</v>
      </c>
      <c r="R77" s="102"/>
      <c r="S77" s="57">
        <v>81464879</v>
      </c>
      <c r="T77" s="57">
        <v>6047492</v>
      </c>
      <c r="U77" s="57">
        <v>144518</v>
      </c>
      <c r="V77" s="57">
        <v>160000</v>
      </c>
      <c r="W77" s="58">
        <f>SUM(Tableau2[[#This Row],[Masse salariale]:[Immobilier (sécurité, accessibilité, loyers, dévolution, Epaurif)]])</f>
        <v>87816889</v>
      </c>
      <c r="X77" s="122">
        <f>Tableau2[[#This Row],[Masse salariale]]+Tableau2[[#This Row],[Actions d''accompagnement ]]</f>
        <v>81609397</v>
      </c>
    </row>
    <row r="78" spans="1:27" s="52" customFormat="1" ht="23.25" customHeight="1">
      <c r="A78" s="67" t="s">
        <v>57</v>
      </c>
      <c r="B78" s="72" t="s">
        <v>344</v>
      </c>
      <c r="C78" s="72" t="s">
        <v>343</v>
      </c>
      <c r="D78" s="72" t="s">
        <v>567</v>
      </c>
      <c r="E78" s="63"/>
      <c r="F78" s="63"/>
      <c r="G78" s="63"/>
      <c r="H78" s="63">
        <v>0</v>
      </c>
      <c r="I78" s="63">
        <v>0</v>
      </c>
      <c r="J78" s="81">
        <v>-18181</v>
      </c>
      <c r="K78" s="63">
        <v>0</v>
      </c>
      <c r="L78" s="63"/>
      <c r="M78" s="86">
        <f>SUM(Tableau2[[#This Row],[LPR 2021 - repyramidage (agents ITRF)]:[Congé pour projet pédagogique 
EAP 2021]])</f>
        <v>-18181</v>
      </c>
      <c r="N78" s="59"/>
      <c r="O78" s="63"/>
      <c r="P78" s="63"/>
      <c r="Q78" s="68">
        <f>Tableau2[[#This Row],[AAP hybridation des formations (P.363)]]+P78</f>
        <v>0</v>
      </c>
      <c r="R78" s="91"/>
      <c r="S78" s="63">
        <v>607783</v>
      </c>
      <c r="T78" s="63">
        <v>-3000</v>
      </c>
      <c r="U78" s="56">
        <v>0</v>
      </c>
      <c r="V78" s="56">
        <v>0</v>
      </c>
      <c r="W78" s="78">
        <f>SUM(Tableau2[[#This Row],[Masse salariale]:[Immobilier (sécurité, accessibilité, loyers, dévolution, Epaurif)]])</f>
        <v>604783</v>
      </c>
      <c r="X78" s="122">
        <f>Tableau2[[#This Row],[Masse salariale]]+Tableau2[[#This Row],[Actions d''accompagnement ]]</f>
        <v>607783</v>
      </c>
      <c r="Z78" s="49"/>
      <c r="AA78" s="49"/>
    </row>
    <row r="79" spans="1:27" ht="27" customHeight="1">
      <c r="A79" s="67" t="s">
        <v>354</v>
      </c>
      <c r="B79" s="72" t="s">
        <v>63</v>
      </c>
      <c r="C79" s="72" t="s">
        <v>62</v>
      </c>
      <c r="D79" s="72" t="s">
        <v>567</v>
      </c>
      <c r="E79" s="63"/>
      <c r="F79" s="63"/>
      <c r="G79" s="63"/>
      <c r="H79" s="63"/>
      <c r="I79" s="63"/>
      <c r="J79" s="81">
        <v>0</v>
      </c>
      <c r="K79" s="63"/>
      <c r="L79" s="63"/>
      <c r="M79" s="68">
        <f>SUM(Tableau2[[#This Row],[LPR 2021 - repyramidage (agents ITRF)]:[Congé pour projet pédagogique 
EAP 2021]])</f>
        <v>0</v>
      </c>
      <c r="N79" s="59"/>
      <c r="O79" s="87"/>
      <c r="P79" s="87"/>
      <c r="Q79" s="89">
        <f>Tableau2[[#This Row],[AAP hybridation des formations (P.363)]]+P79</f>
        <v>0</v>
      </c>
      <c r="R79" s="91"/>
      <c r="S79" s="57">
        <v>5003941</v>
      </c>
      <c r="T79" s="57">
        <v>-8476</v>
      </c>
      <c r="U79" s="57">
        <v>26748</v>
      </c>
      <c r="V79" s="57">
        <v>0</v>
      </c>
      <c r="W79" s="89">
        <f>SUM(Tableau2[[#This Row],[Masse salariale]:[Immobilier (sécurité, accessibilité, loyers, dévolution, Epaurif)]])</f>
        <v>5022213</v>
      </c>
      <c r="X79" s="122">
        <f>Tableau2[[#This Row],[Masse salariale]]+Tableau2[[#This Row],[Actions d''accompagnement ]]</f>
        <v>5030689</v>
      </c>
    </row>
    <row r="80" spans="1:27" s="110" customFormat="1" ht="23.25" customHeight="1">
      <c r="A80" s="67" t="s">
        <v>465</v>
      </c>
      <c r="B80" s="72" t="s">
        <v>348</v>
      </c>
      <c r="C80" s="72" t="s">
        <v>347</v>
      </c>
      <c r="D80" s="72" t="s">
        <v>567</v>
      </c>
      <c r="E80" s="63"/>
      <c r="F80" s="63"/>
      <c r="G80" s="63"/>
      <c r="H80" s="63"/>
      <c r="I80" s="63"/>
      <c r="J80" s="81">
        <v>0</v>
      </c>
      <c r="K80" s="63"/>
      <c r="L80" s="63"/>
      <c r="M80" s="68">
        <f>SUM(Tableau2[[#This Row],[LPR 2021 - repyramidage (agents ITRF)]:[Congé pour projet pédagogique 
EAP 2021]])</f>
        <v>0</v>
      </c>
      <c r="N80" s="59"/>
      <c r="O80" s="63"/>
      <c r="P80" s="63"/>
      <c r="Q80" s="68">
        <f>Tableau2[[#This Row],[AAP hybridation des formations (P.363)]]+P80</f>
        <v>0</v>
      </c>
      <c r="R80" s="91"/>
      <c r="S80" s="63">
        <v>56416</v>
      </c>
      <c r="T80" s="63">
        <v>-273</v>
      </c>
      <c r="U80" s="56">
        <v>0</v>
      </c>
      <c r="V80" s="56">
        <v>0</v>
      </c>
      <c r="W80" s="78">
        <f>SUM(Tableau2[[#This Row],[Masse salariale]:[Immobilier (sécurité, accessibilité, loyers, dévolution, Epaurif)]])</f>
        <v>56143</v>
      </c>
      <c r="X80" s="122">
        <f>Tableau2[[#This Row],[Masse salariale]]+Tableau2[[#This Row],[Actions d''accompagnement ]]</f>
        <v>56416</v>
      </c>
      <c r="Y80" s="110">
        <v>800000</v>
      </c>
      <c r="Z80" s="112">
        <f>Y80/Tableau2[[#This Row],[Masse salariale]]</f>
        <v>14.180374361883153</v>
      </c>
      <c r="AA80" s="111"/>
    </row>
    <row r="81" spans="1:27" ht="27" customHeight="1">
      <c r="A81" s="67" t="s">
        <v>131</v>
      </c>
      <c r="B81" s="72" t="s">
        <v>550</v>
      </c>
      <c r="C81" s="72" t="s">
        <v>472</v>
      </c>
      <c r="D81" s="72" t="s">
        <v>567</v>
      </c>
      <c r="E81" s="63"/>
      <c r="F81" s="63"/>
      <c r="G81" s="63"/>
      <c r="H81" s="63"/>
      <c r="I81" s="63"/>
      <c r="J81" s="81">
        <v>0</v>
      </c>
      <c r="K81" s="63"/>
      <c r="L81" s="63"/>
      <c r="M81" s="68">
        <f>SUM(Tableau2[[#This Row],[LPR 2021 - repyramidage (agents ITRF)]:[Congé pour projet pédagogique 
EAP 2021]])</f>
        <v>0</v>
      </c>
      <c r="N81" s="59"/>
      <c r="O81" s="45"/>
      <c r="P81" s="45"/>
      <c r="Q81" s="79">
        <f>Tableau2[[#This Row],[AAP hybridation des formations (P.363)]]+P81</f>
        <v>0</v>
      </c>
      <c r="R81" s="60"/>
      <c r="S81" s="57">
        <v>0</v>
      </c>
      <c r="T81" s="57">
        <v>0</v>
      </c>
      <c r="U81" s="57">
        <v>0</v>
      </c>
      <c r="V81" s="57">
        <v>0</v>
      </c>
      <c r="W81" s="89">
        <f>SUM(Tableau2[[#This Row],[Masse salariale]:[Immobilier (sécurité, accessibilité, loyers, dévolution, Epaurif)]])</f>
        <v>0</v>
      </c>
      <c r="X81" s="122">
        <f>Tableau2[[#This Row],[Masse salariale]]+Tableau2[[#This Row],[Actions d''accompagnement ]]</f>
        <v>0</v>
      </c>
    </row>
    <row r="82" spans="1:27" s="52" customFormat="1" ht="23.25" customHeight="1">
      <c r="A82" s="67" t="s">
        <v>151</v>
      </c>
      <c r="B82" s="72" t="s">
        <v>552</v>
      </c>
      <c r="C82" s="72" t="s">
        <v>464</v>
      </c>
      <c r="D82" s="72" t="s">
        <v>567</v>
      </c>
      <c r="E82" s="63"/>
      <c r="F82" s="63"/>
      <c r="G82" s="63"/>
      <c r="H82" s="63"/>
      <c r="I82" s="63"/>
      <c r="J82" s="81">
        <v>0</v>
      </c>
      <c r="K82" s="63"/>
      <c r="L82" s="63"/>
      <c r="M82" s="68">
        <f>SUM(Tableau2[[#This Row],[LPR 2021 - repyramidage (agents ITRF)]:[Congé pour projet pédagogique 
EAP 2021]])</f>
        <v>0</v>
      </c>
      <c r="N82" s="59"/>
      <c r="O82" s="63"/>
      <c r="P82" s="63"/>
      <c r="Q82" s="68">
        <f>Tableau2[[#This Row],[AAP hybridation des formations (P.363)]]+P82</f>
        <v>0</v>
      </c>
      <c r="R82" s="91"/>
      <c r="S82" s="63">
        <v>88771</v>
      </c>
      <c r="T82" s="63">
        <v>-409</v>
      </c>
      <c r="U82" s="56">
        <v>0</v>
      </c>
      <c r="V82" s="56">
        <v>0</v>
      </c>
      <c r="W82" s="78">
        <f>SUM(Tableau2[[#This Row],[Masse salariale]:[Immobilier (sécurité, accessibilité, loyers, dévolution, Epaurif)]])</f>
        <v>88362</v>
      </c>
      <c r="X82" s="122">
        <f>Tableau2[[#This Row],[Masse salariale]]+Tableau2[[#This Row],[Actions d''accompagnement ]]</f>
        <v>88771</v>
      </c>
      <c r="Z82" s="49"/>
      <c r="AA82" s="49"/>
    </row>
    <row r="83" spans="1:27" ht="27" customHeight="1">
      <c r="A83" s="67" t="s">
        <v>153</v>
      </c>
      <c r="B83" s="72" t="s">
        <v>553</v>
      </c>
      <c r="C83" s="72" t="s">
        <v>554</v>
      </c>
      <c r="D83" s="72" t="s">
        <v>567</v>
      </c>
      <c r="E83" s="63"/>
      <c r="F83" s="63"/>
      <c r="G83" s="63"/>
      <c r="H83" s="63"/>
      <c r="I83" s="63"/>
      <c r="J83" s="81">
        <v>0</v>
      </c>
      <c r="K83" s="63"/>
      <c r="L83" s="63"/>
      <c r="M83" s="68">
        <f>SUM(Tableau2[[#This Row],[LPR 2021 - repyramidage (agents ITRF)]:[Congé pour projet pédagogique 
EAP 2021]])</f>
        <v>0</v>
      </c>
      <c r="N83" s="59"/>
      <c r="O83" s="87"/>
      <c r="P83" s="87"/>
      <c r="Q83" s="89">
        <f>Tableau2[[#This Row],[AAP hybridation des formations (P.363)]]+P83</f>
        <v>0</v>
      </c>
      <c r="R83" s="91"/>
      <c r="S83" s="57">
        <v>329379</v>
      </c>
      <c r="T83" s="57">
        <v>-1627</v>
      </c>
      <c r="U83" s="57">
        <v>0</v>
      </c>
      <c r="V83" s="57">
        <v>0</v>
      </c>
      <c r="W83" s="89">
        <f>SUM(Tableau2[[#This Row],[Masse salariale]:[Immobilier (sécurité, accessibilité, loyers, dévolution, Epaurif)]])</f>
        <v>327752</v>
      </c>
      <c r="X83" s="122">
        <f>Tableau2[[#This Row],[Masse salariale]]+Tableau2[[#This Row],[Actions d''accompagnement ]]</f>
        <v>329379</v>
      </c>
    </row>
    <row r="84" spans="1:27" s="52" customFormat="1" ht="23.25" customHeight="1">
      <c r="A84" s="67" t="s">
        <v>473</v>
      </c>
      <c r="B84" s="72" t="s">
        <v>477</v>
      </c>
      <c r="C84" s="72" t="s">
        <v>557</v>
      </c>
      <c r="D84" s="72" t="s">
        <v>567</v>
      </c>
      <c r="E84" s="63"/>
      <c r="F84" s="63"/>
      <c r="G84" s="63"/>
      <c r="H84" s="63"/>
      <c r="I84" s="63"/>
      <c r="J84" s="81">
        <v>0</v>
      </c>
      <c r="K84" s="63"/>
      <c r="L84" s="63"/>
      <c r="M84" s="68">
        <f>SUM(Tableau2[[#This Row],[LPR 2021 - repyramidage (agents ITRF)]:[Congé pour projet pédagogique 
EAP 2021]])</f>
        <v>0</v>
      </c>
      <c r="N84" s="59"/>
      <c r="O84" s="88"/>
      <c r="P84" s="88"/>
      <c r="Q84" s="90">
        <f>Tableau2[[#This Row],[AAP hybridation des formations (P.363)]]+P84</f>
        <v>0</v>
      </c>
      <c r="R84" s="60"/>
      <c r="S84" s="63">
        <v>0</v>
      </c>
      <c r="T84" s="63">
        <v>0</v>
      </c>
      <c r="U84" s="56">
        <v>50000</v>
      </c>
      <c r="V84" s="56">
        <v>0</v>
      </c>
      <c r="W84" s="78">
        <f>SUM(Tableau2[[#This Row],[Masse salariale]:[Immobilier (sécurité, accessibilité, loyers, dévolution, Epaurif)]])</f>
        <v>50000</v>
      </c>
      <c r="X84" s="122">
        <f>Tableau2[[#This Row],[Masse salariale]]+Tableau2[[#This Row],[Actions d''accompagnement ]]</f>
        <v>50000</v>
      </c>
      <c r="Z84" s="49"/>
      <c r="AA84" s="49"/>
    </row>
    <row r="85" spans="1:27" ht="27" customHeight="1">
      <c r="A85" s="67" t="s">
        <v>118</v>
      </c>
      <c r="B85" s="72" t="s">
        <v>558</v>
      </c>
      <c r="C85" s="72" t="s">
        <v>354</v>
      </c>
      <c r="D85" s="72" t="s">
        <v>567</v>
      </c>
      <c r="E85" s="63"/>
      <c r="F85" s="63"/>
      <c r="G85" s="63"/>
      <c r="H85" s="63"/>
      <c r="I85" s="63"/>
      <c r="J85" s="81">
        <v>0</v>
      </c>
      <c r="K85" s="63"/>
      <c r="L85" s="63"/>
      <c r="M85" s="68">
        <f>SUM(Tableau2[[#This Row],[LPR 2021 - repyramidage (agents ITRF)]:[Congé pour projet pédagogique 
EAP 2021]])</f>
        <v>0</v>
      </c>
      <c r="N85" s="59"/>
      <c r="O85" s="87"/>
      <c r="P85" s="87"/>
      <c r="Q85" s="89">
        <f>Tableau2[[#This Row],[AAP hybridation des formations (P.363)]]+P85</f>
        <v>0</v>
      </c>
      <c r="R85" s="91"/>
      <c r="S85" s="57">
        <v>165469</v>
      </c>
      <c r="T85" s="57">
        <v>-813</v>
      </c>
      <c r="U85" s="57">
        <v>0</v>
      </c>
      <c r="V85" s="57">
        <v>0</v>
      </c>
      <c r="W85" s="89">
        <f>SUM(Tableau2[[#This Row],[Masse salariale]:[Immobilier (sécurité, accessibilité, loyers, dévolution, Epaurif)]])</f>
        <v>164656</v>
      </c>
      <c r="X85" s="122">
        <f>Tableau2[[#This Row],[Masse salariale]]+Tableau2[[#This Row],[Actions d''accompagnement ]]</f>
        <v>165469</v>
      </c>
    </row>
    <row r="86" spans="1:27" s="52" customFormat="1" ht="23.25" customHeight="1">
      <c r="A86" s="67" t="s">
        <v>76</v>
      </c>
      <c r="B86" s="72" t="s">
        <v>359</v>
      </c>
      <c r="C86" s="72" t="s">
        <v>358</v>
      </c>
      <c r="D86" s="72" t="s">
        <v>567</v>
      </c>
      <c r="E86" s="63"/>
      <c r="F86" s="63"/>
      <c r="G86" s="63"/>
      <c r="H86" s="63"/>
      <c r="I86" s="63"/>
      <c r="J86" s="81">
        <v>0</v>
      </c>
      <c r="K86" s="63"/>
      <c r="L86" s="63"/>
      <c r="M86" s="68">
        <f>SUM(Tableau2[[#This Row],[LPR 2021 - repyramidage (agents ITRF)]:[Congé pour projet pédagogique 
EAP 2021]])</f>
        <v>0</v>
      </c>
      <c r="N86" s="59"/>
      <c r="O86" s="88"/>
      <c r="P86" s="88"/>
      <c r="Q86" s="90">
        <f>Tableau2[[#This Row],[AAP hybridation des formations (P.363)]]+P86</f>
        <v>0</v>
      </c>
      <c r="R86" s="88"/>
      <c r="S86" s="63">
        <v>139482</v>
      </c>
      <c r="T86" s="63">
        <v>-682</v>
      </c>
      <c r="U86" s="56">
        <v>0</v>
      </c>
      <c r="V86" s="56">
        <v>0</v>
      </c>
      <c r="W86" s="78">
        <f>SUM(Tableau2[[#This Row],[Masse salariale]:[Immobilier (sécurité, accessibilité, loyers, dévolution, Epaurif)]])</f>
        <v>138800</v>
      </c>
      <c r="X86" s="122">
        <f>Tableau2[[#This Row],[Masse salariale]]+Tableau2[[#This Row],[Actions d''accompagnement ]]</f>
        <v>139482</v>
      </c>
      <c r="Z86" s="49"/>
      <c r="AA86" s="49"/>
    </row>
    <row r="87" spans="1:27" ht="27" customHeight="1">
      <c r="A87" s="67" t="s">
        <v>296</v>
      </c>
      <c r="B87" s="72" t="s">
        <v>532</v>
      </c>
      <c r="C87" s="72" t="s">
        <v>465</v>
      </c>
      <c r="D87" s="72" t="s">
        <v>567</v>
      </c>
      <c r="E87" s="63"/>
      <c r="F87" s="63"/>
      <c r="G87" s="63"/>
      <c r="H87" s="63">
        <v>0</v>
      </c>
      <c r="I87" s="63">
        <v>0</v>
      </c>
      <c r="J87" s="81">
        <v>-23044</v>
      </c>
      <c r="K87" s="63">
        <v>0</v>
      </c>
      <c r="L87" s="63"/>
      <c r="M87" s="68">
        <f>SUM(Tableau2[[#This Row],[LPR 2021 - repyramidage (agents ITRF)]:[Congé pour projet pédagogique 
EAP 2021]])</f>
        <v>-23044</v>
      </c>
      <c r="N87" s="59"/>
      <c r="O87" s="100"/>
      <c r="P87" s="100"/>
      <c r="Q87" s="101">
        <f>Tableau2[[#This Row],[AAP hybridation des formations (P.363)]]+P87</f>
        <v>0</v>
      </c>
      <c r="R87" s="102"/>
      <c r="S87" s="57">
        <v>0</v>
      </c>
      <c r="T87" s="57">
        <v>0</v>
      </c>
      <c r="U87" s="57">
        <v>0</v>
      </c>
      <c r="V87" s="57">
        <v>0</v>
      </c>
      <c r="W87" s="58">
        <f>SUM(Tableau2[[#This Row],[Masse salariale]:[Immobilier (sécurité, accessibilité, loyers, dévolution, Epaurif)]])</f>
        <v>0</v>
      </c>
      <c r="X87" s="122">
        <f>Tableau2[[#This Row],[Masse salariale]]+Tableau2[[#This Row],[Actions d''accompagnement ]]</f>
        <v>0</v>
      </c>
    </row>
    <row r="88" spans="1:27" s="52" customFormat="1" ht="23.25" customHeight="1">
      <c r="A88" s="67" t="s">
        <v>15</v>
      </c>
      <c r="B88" s="72" t="s">
        <v>441</v>
      </c>
      <c r="C88" s="72" t="s">
        <v>12</v>
      </c>
      <c r="D88" s="72" t="s">
        <v>434</v>
      </c>
      <c r="E88" s="63">
        <v>1452</v>
      </c>
      <c r="F88" s="63">
        <v>30918</v>
      </c>
      <c r="G88" s="63">
        <v>382713</v>
      </c>
      <c r="H88" s="63">
        <v>105367</v>
      </c>
      <c r="I88" s="63">
        <v>53333.000000000102</v>
      </c>
      <c r="J88" s="81">
        <v>-193243</v>
      </c>
      <c r="K88" s="63">
        <v>74441</v>
      </c>
      <c r="L88" s="63">
        <v>20000</v>
      </c>
      <c r="M88" s="68">
        <f>SUM(Tableau2[[#This Row],[LPR 2021 - repyramidage (agents ITRF)]:[Congé pour projet pédagogique 
EAP 2021]])</f>
        <v>474981.00000000012</v>
      </c>
      <c r="N88" s="59"/>
      <c r="O88" s="63"/>
      <c r="P88" s="63"/>
      <c r="Q88" s="68">
        <f>Tableau2[[#This Row],[AAP hybridation des formations (P.363)]]+P88</f>
        <v>0</v>
      </c>
      <c r="R88" s="63"/>
      <c r="S88" s="63">
        <v>79534686</v>
      </c>
      <c r="T88" s="63">
        <v>5898163</v>
      </c>
      <c r="U88" s="56">
        <v>84476</v>
      </c>
      <c r="V88" s="56">
        <v>100000</v>
      </c>
      <c r="W88" s="78">
        <f>SUM(Tableau2[[#This Row],[Masse salariale]:[Immobilier (sécurité, accessibilité, loyers, dévolution, Epaurif)]])</f>
        <v>85617325</v>
      </c>
      <c r="X88" s="122">
        <f>Tableau2[[#This Row],[Masse salariale]]+Tableau2[[#This Row],[Actions d''accompagnement ]]</f>
        <v>79619162</v>
      </c>
      <c r="Z88" s="49"/>
      <c r="AA88" s="49"/>
    </row>
    <row r="89" spans="1:27" ht="27" customHeight="1">
      <c r="A89" s="67"/>
      <c r="B89" s="72" t="s">
        <v>491</v>
      </c>
      <c r="C89" s="72" t="s">
        <v>492</v>
      </c>
      <c r="D89" s="72" t="s">
        <v>434</v>
      </c>
      <c r="E89" s="63">
        <v>294</v>
      </c>
      <c r="F89" s="63">
        <v>5942</v>
      </c>
      <c r="G89" s="63">
        <v>111058</v>
      </c>
      <c r="H89" s="63">
        <v>0</v>
      </c>
      <c r="I89" s="63">
        <v>0</v>
      </c>
      <c r="J89" s="81">
        <v>0</v>
      </c>
      <c r="K89" s="63">
        <v>11813</v>
      </c>
      <c r="L89" s="63">
        <v>6668</v>
      </c>
      <c r="M89" s="68">
        <f>SUM(Tableau2[[#This Row],[LPR 2021 - repyramidage (agents ITRF)]:[Congé pour projet pédagogique 
EAP 2021]])</f>
        <v>135775</v>
      </c>
      <c r="N89" s="59"/>
      <c r="O89" s="87"/>
      <c r="P89" s="87"/>
      <c r="Q89" s="89">
        <f>Tableau2[[#This Row],[AAP hybridation des formations (P.363)]]+P89</f>
        <v>0</v>
      </c>
      <c r="R89" s="91"/>
      <c r="S89" s="57">
        <v>23298289</v>
      </c>
      <c r="T89" s="57">
        <v>2940970</v>
      </c>
      <c r="U89" s="57">
        <v>26748</v>
      </c>
      <c r="V89" s="57">
        <v>30000</v>
      </c>
      <c r="W89" s="89">
        <f>SUM(Tableau2[[#This Row],[Masse salariale]:[Immobilier (sécurité, accessibilité, loyers, dévolution, Epaurif)]])</f>
        <v>26296007</v>
      </c>
      <c r="X89" s="122">
        <f>Tableau2[[#This Row],[Masse salariale]]+Tableau2[[#This Row],[Actions d''accompagnement ]]</f>
        <v>23325037</v>
      </c>
    </row>
    <row r="90" spans="1:27" s="52" customFormat="1" ht="23.25" customHeight="1">
      <c r="A90" s="67" t="s">
        <v>250</v>
      </c>
      <c r="B90" s="72" t="s">
        <v>511</v>
      </c>
      <c r="C90" s="72" t="s">
        <v>246</v>
      </c>
      <c r="D90" s="72" t="s">
        <v>434</v>
      </c>
      <c r="E90" s="63"/>
      <c r="F90" s="63"/>
      <c r="G90" s="63"/>
      <c r="H90" s="63">
        <v>0</v>
      </c>
      <c r="I90" s="63">
        <v>0</v>
      </c>
      <c r="J90" s="81">
        <v>0</v>
      </c>
      <c r="K90" s="63">
        <v>0</v>
      </c>
      <c r="L90" s="63">
        <v>1111</v>
      </c>
      <c r="M90" s="68">
        <f>SUM(Tableau2[[#This Row],[LPR 2021 - repyramidage (agents ITRF)]:[Congé pour projet pédagogique 
EAP 2021]])</f>
        <v>1111</v>
      </c>
      <c r="N90" s="59"/>
      <c r="O90" s="63"/>
      <c r="P90" s="63"/>
      <c r="Q90" s="68">
        <f>Tableau2[[#This Row],[AAP hybridation des formations (P.363)]]+P90</f>
        <v>0</v>
      </c>
      <c r="R90" s="63"/>
      <c r="S90" s="63">
        <v>248488</v>
      </c>
      <c r="T90" s="63">
        <v>842389</v>
      </c>
      <c r="U90" s="56">
        <v>0</v>
      </c>
      <c r="V90" s="56">
        <v>40000</v>
      </c>
      <c r="W90" s="78">
        <f>SUM(Tableau2[[#This Row],[Masse salariale]:[Immobilier (sécurité, accessibilité, loyers, dévolution, Epaurif)]])</f>
        <v>1130877</v>
      </c>
      <c r="X90" s="122">
        <f>Tableau2[[#This Row],[Masse salariale]]+Tableau2[[#This Row],[Actions d''accompagnement ]]</f>
        <v>248488</v>
      </c>
      <c r="Z90" s="49"/>
      <c r="AA90" s="49"/>
    </row>
    <row r="91" spans="1:27" ht="27" customHeight="1">
      <c r="A91" s="67" t="s">
        <v>266</v>
      </c>
      <c r="B91" s="72" t="s">
        <v>245</v>
      </c>
      <c r="C91" s="72" t="s">
        <v>244</v>
      </c>
      <c r="D91" s="72" t="s">
        <v>434</v>
      </c>
      <c r="E91" s="63"/>
      <c r="F91" s="63"/>
      <c r="G91" s="63"/>
      <c r="H91" s="63">
        <v>0</v>
      </c>
      <c r="I91" s="63">
        <v>0</v>
      </c>
      <c r="J91" s="81">
        <v>0</v>
      </c>
      <c r="K91" s="63">
        <v>0</v>
      </c>
      <c r="L91" s="63">
        <v>1111</v>
      </c>
      <c r="M91" s="68">
        <f>SUM(Tableau2[[#This Row],[LPR 2021 - repyramidage (agents ITRF)]:[Congé pour projet pédagogique 
EAP 2021]])</f>
        <v>1111</v>
      </c>
      <c r="N91" s="59"/>
      <c r="O91" s="45"/>
      <c r="P91" s="45"/>
      <c r="Q91" s="79">
        <f>Tableau2[[#This Row],[AAP hybridation des formations (P.363)]]+P91</f>
        <v>0</v>
      </c>
      <c r="R91" s="60"/>
      <c r="S91" s="57">
        <v>1025335</v>
      </c>
      <c r="T91" s="57">
        <v>366854</v>
      </c>
      <c r="U91" s="57">
        <v>80143</v>
      </c>
      <c r="V91" s="57">
        <v>0</v>
      </c>
      <c r="W91" s="89">
        <f>SUM(Tableau2[[#This Row],[Masse salariale]:[Immobilier (sécurité, accessibilité, loyers, dévolution, Epaurif)]])</f>
        <v>1472332</v>
      </c>
      <c r="X91" s="122">
        <f>Tableau2[[#This Row],[Masse salariale]]+Tableau2[[#This Row],[Actions d''accompagnement ]]</f>
        <v>1105478</v>
      </c>
    </row>
    <row r="92" spans="1:27" s="52" customFormat="1" ht="23.25" customHeight="1">
      <c r="A92" s="67" t="s">
        <v>268</v>
      </c>
      <c r="B92" s="72" t="s">
        <v>555</v>
      </c>
      <c r="C92" s="72" t="s">
        <v>556</v>
      </c>
      <c r="D92" s="72" t="s">
        <v>434</v>
      </c>
      <c r="E92" s="63"/>
      <c r="F92" s="63"/>
      <c r="G92" s="63"/>
      <c r="H92" s="63"/>
      <c r="I92" s="63"/>
      <c r="J92" s="81">
        <v>0</v>
      </c>
      <c r="K92" s="63"/>
      <c r="L92" s="63"/>
      <c r="M92" s="68">
        <f>SUM(Tableau2[[#This Row],[LPR 2021 - repyramidage (agents ITRF)]:[Congé pour projet pédagogique 
EAP 2021]])</f>
        <v>0</v>
      </c>
      <c r="N92" s="59"/>
      <c r="O92" s="103"/>
      <c r="P92" s="103"/>
      <c r="Q92" s="73">
        <f>Tableau2[[#This Row],[AAP hybridation des formations (P.363)]]+P92</f>
        <v>0</v>
      </c>
      <c r="R92" s="102"/>
      <c r="S92" s="63">
        <v>2300000</v>
      </c>
      <c r="T92" s="63">
        <v>500000</v>
      </c>
      <c r="U92" s="56">
        <v>0</v>
      </c>
      <c r="V92" s="56">
        <v>0</v>
      </c>
      <c r="W92" s="78">
        <f>SUM(Tableau2[[#This Row],[Masse salariale]:[Immobilier (sécurité, accessibilité, loyers, dévolution, Epaurif)]])</f>
        <v>2800000</v>
      </c>
      <c r="X92" s="122">
        <f>Tableau2[[#This Row],[Masse salariale]]+Tableau2[[#This Row],[Actions d''accompagnement ]]</f>
        <v>2300000</v>
      </c>
      <c r="Z92" s="49"/>
      <c r="AA92" s="49"/>
    </row>
    <row r="93" spans="1:27" ht="27" customHeight="1">
      <c r="A93" s="67" t="s">
        <v>84</v>
      </c>
      <c r="B93" s="72" t="s">
        <v>126</v>
      </c>
      <c r="C93" s="72" t="s">
        <v>125</v>
      </c>
      <c r="D93" s="72" t="s">
        <v>434</v>
      </c>
      <c r="E93" s="63">
        <v>1304</v>
      </c>
      <c r="F93" s="63">
        <v>28373</v>
      </c>
      <c r="G93" s="63">
        <v>349274</v>
      </c>
      <c r="H93" s="63">
        <v>146667</v>
      </c>
      <c r="I93" s="63">
        <v>153600</v>
      </c>
      <c r="J93" s="81">
        <v>120172</v>
      </c>
      <c r="K93" s="63">
        <v>70188</v>
      </c>
      <c r="L93" s="63">
        <v>16667</v>
      </c>
      <c r="M93" s="68">
        <f>SUM(Tableau2[[#This Row],[LPR 2021 - repyramidage (agents ITRF)]:[Congé pour projet pédagogique 
EAP 2021]])</f>
        <v>886245</v>
      </c>
      <c r="N93" s="59"/>
      <c r="O93" s="87"/>
      <c r="P93" s="87"/>
      <c r="Q93" s="89">
        <f>Tableau2[[#This Row],[AAP hybridation des formations (P.363)]]+P93</f>
        <v>0</v>
      </c>
      <c r="R93" s="91"/>
      <c r="S93" s="57">
        <v>67453470</v>
      </c>
      <c r="T93" s="57">
        <v>5657795</v>
      </c>
      <c r="U93" s="57">
        <v>6765</v>
      </c>
      <c r="V93" s="57">
        <v>200000</v>
      </c>
      <c r="W93" s="89">
        <f>SUM(Tableau2[[#This Row],[Masse salariale]:[Immobilier (sécurité, accessibilité, loyers, dévolution, Epaurif)]])</f>
        <v>73318030</v>
      </c>
      <c r="X93" s="122">
        <f>Tableau2[[#This Row],[Masse salariale]]+Tableau2[[#This Row],[Actions d''accompagnement ]]</f>
        <v>67460235</v>
      </c>
    </row>
    <row r="94" spans="1:27" s="52" customFormat="1" ht="23.25" customHeight="1">
      <c r="A94" s="67"/>
      <c r="B94" s="72" t="s">
        <v>537</v>
      </c>
      <c r="C94" s="72" t="s">
        <v>476</v>
      </c>
      <c r="D94" s="72" t="s">
        <v>434</v>
      </c>
      <c r="E94" s="63">
        <v>1304</v>
      </c>
      <c r="F94" s="63">
        <v>36669</v>
      </c>
      <c r="G94" s="63">
        <v>424192</v>
      </c>
      <c r="H94" s="63">
        <v>169534</v>
      </c>
      <c r="I94" s="63">
        <v>112000</v>
      </c>
      <c r="J94" s="81">
        <v>663</v>
      </c>
      <c r="K94" s="63">
        <v>88828</v>
      </c>
      <c r="L94" s="63">
        <v>23333</v>
      </c>
      <c r="M94" s="68">
        <f>SUM(Tableau2[[#This Row],[LPR 2021 - repyramidage (agents ITRF)]:[Congé pour projet pédagogique 
EAP 2021]])</f>
        <v>856523</v>
      </c>
      <c r="N94" s="59"/>
      <c r="O94" s="63"/>
      <c r="P94" s="63"/>
      <c r="Q94" s="68">
        <f>Tableau2[[#This Row],[AAP hybridation des formations (P.363)]]+P94</f>
        <v>0</v>
      </c>
      <c r="R94" s="63"/>
      <c r="S94" s="63">
        <v>79519683</v>
      </c>
      <c r="T94" s="63">
        <v>6027299</v>
      </c>
      <c r="U94" s="56">
        <v>92893</v>
      </c>
      <c r="V94" s="56">
        <v>235000</v>
      </c>
      <c r="W94" s="78">
        <f>SUM(Tableau2[[#This Row],[Masse salariale]:[Immobilier (sécurité, accessibilité, loyers, dévolution, Epaurif)]])</f>
        <v>85874875</v>
      </c>
      <c r="X94" s="122">
        <f>Tableau2[[#This Row],[Masse salariale]]+Tableau2[[#This Row],[Actions d''accompagnement ]]</f>
        <v>79612576</v>
      </c>
      <c r="Z94" s="49"/>
      <c r="AA94" s="49"/>
    </row>
    <row r="95" spans="1:27" ht="27" customHeight="1">
      <c r="A95" s="67" t="s">
        <v>478</v>
      </c>
      <c r="B95" s="72" t="s">
        <v>56</v>
      </c>
      <c r="C95" s="72" t="s">
        <v>55</v>
      </c>
      <c r="D95" s="72" t="s">
        <v>497</v>
      </c>
      <c r="E95" s="63">
        <v>671</v>
      </c>
      <c r="F95" s="63">
        <v>12538</v>
      </c>
      <c r="G95" s="63">
        <v>147442</v>
      </c>
      <c r="H95" s="63">
        <v>0</v>
      </c>
      <c r="I95" s="63">
        <v>0</v>
      </c>
      <c r="J95" s="81">
        <v>85</v>
      </c>
      <c r="K95" s="63">
        <v>22244</v>
      </c>
      <c r="L95" s="63">
        <v>10000</v>
      </c>
      <c r="M95" s="68">
        <f>SUM(Tableau2[[#This Row],[LPR 2021 - repyramidage (agents ITRF)]:[Congé pour projet pédagogique 
EAP 2021]])</f>
        <v>192980</v>
      </c>
      <c r="N95" s="59"/>
      <c r="O95" s="87"/>
      <c r="P95" s="87"/>
      <c r="Q95" s="89">
        <f>Tableau2[[#This Row],[AAP hybridation des formations (P.363)]]+P95</f>
        <v>0</v>
      </c>
      <c r="R95" s="91">
        <f>Tableau2[[#This Row],[TOTAL Plan de relance (P.363 et P.364)]]/$R$4</f>
        <v>0</v>
      </c>
      <c r="S95" s="57">
        <v>32323423</v>
      </c>
      <c r="T95" s="57">
        <v>4177280</v>
      </c>
      <c r="U95" s="57">
        <v>22748</v>
      </c>
      <c r="V95" s="57">
        <v>10000</v>
      </c>
      <c r="W95" s="89">
        <f>SUM(Tableau2[[#This Row],[Masse salariale]:[Immobilier (sécurité, accessibilité, loyers, dévolution, Epaurif)]])</f>
        <v>36533451</v>
      </c>
      <c r="X95" s="122">
        <f>Tableau2[[#This Row],[Masse salariale]]+Tableau2[[#This Row],[Actions d''accompagnement ]]</f>
        <v>32346171</v>
      </c>
    </row>
    <row r="96" spans="1:27" s="52" customFormat="1" ht="23.25" customHeight="1">
      <c r="A96" s="67" t="s">
        <v>246</v>
      </c>
      <c r="B96" s="72" t="s">
        <v>75</v>
      </c>
      <c r="C96" s="72" t="s">
        <v>74</v>
      </c>
      <c r="D96" s="72" t="s">
        <v>497</v>
      </c>
      <c r="E96" s="63">
        <v>1656</v>
      </c>
      <c r="F96" s="63">
        <v>32398</v>
      </c>
      <c r="G96" s="63">
        <v>210480</v>
      </c>
      <c r="H96" s="63">
        <v>0</v>
      </c>
      <c r="I96" s="63">
        <v>0</v>
      </c>
      <c r="J96" s="81">
        <v>-17912</v>
      </c>
      <c r="K96" s="63">
        <v>43950</v>
      </c>
      <c r="L96" s="63">
        <v>10000</v>
      </c>
      <c r="M96" s="68">
        <f>SUM(Tableau2[[#This Row],[LPR 2021 - repyramidage (agents ITRF)]:[Congé pour projet pédagogique 
EAP 2021]])</f>
        <v>280572</v>
      </c>
      <c r="N96" s="59"/>
      <c r="O96" s="88"/>
      <c r="P96" s="88"/>
      <c r="Q96" s="90">
        <f>Tableau2[[#This Row],[AAP hybridation des formations (P.363)]]+P96</f>
        <v>0</v>
      </c>
      <c r="R96" s="60"/>
      <c r="S96" s="63">
        <v>104804240</v>
      </c>
      <c r="T96" s="63">
        <v>12135531</v>
      </c>
      <c r="U96" s="56">
        <v>702341</v>
      </c>
      <c r="V96" s="56">
        <v>50000</v>
      </c>
      <c r="W96" s="78">
        <f>SUM(Tableau2[[#This Row],[Masse salariale]:[Immobilier (sécurité, accessibilité, loyers, dévolution, Epaurif)]])</f>
        <v>117692112</v>
      </c>
      <c r="X96" s="122">
        <f>Tableau2[[#This Row],[Masse salariale]]+Tableau2[[#This Row],[Actions d''accompagnement ]]</f>
        <v>105506581</v>
      </c>
      <c r="Z96" s="49"/>
      <c r="AA96" s="49"/>
    </row>
    <row r="97" spans="1:27" ht="27" customHeight="1">
      <c r="A97" s="67" t="s">
        <v>476</v>
      </c>
      <c r="B97" s="72" t="s">
        <v>311</v>
      </c>
      <c r="C97" s="72" t="s">
        <v>310</v>
      </c>
      <c r="D97" s="72" t="s">
        <v>497</v>
      </c>
      <c r="E97" s="63"/>
      <c r="F97" s="63"/>
      <c r="G97" s="63"/>
      <c r="H97" s="63">
        <v>0</v>
      </c>
      <c r="I97" s="63">
        <v>0</v>
      </c>
      <c r="J97" s="81">
        <v>0</v>
      </c>
      <c r="K97" s="63">
        <v>0</v>
      </c>
      <c r="L97" s="63">
        <v>1111</v>
      </c>
      <c r="M97" s="68">
        <f>SUM(Tableau2[[#This Row],[LPR 2021 - repyramidage (agents ITRF)]:[Congé pour projet pédagogique 
EAP 2021]])</f>
        <v>1111</v>
      </c>
      <c r="N97" s="59"/>
      <c r="O97" s="87"/>
      <c r="P97" s="87"/>
      <c r="Q97" s="89">
        <f>Tableau2[[#This Row],[AAP hybridation des formations (P.363)]]+P97</f>
        <v>0</v>
      </c>
      <c r="R97" s="91"/>
      <c r="S97" s="57">
        <v>60896</v>
      </c>
      <c r="T97" s="57">
        <v>1271728</v>
      </c>
      <c r="U97" s="57">
        <v>0</v>
      </c>
      <c r="V97" s="57">
        <v>30000</v>
      </c>
      <c r="W97" s="89">
        <f>SUM(Tableau2[[#This Row],[Masse salariale]:[Immobilier (sécurité, accessibilité, loyers, dévolution, Epaurif)]])</f>
        <v>1362624</v>
      </c>
      <c r="X97" s="122">
        <f>Tableau2[[#This Row],[Masse salariale]]+Tableau2[[#This Row],[Actions d''accompagnement ]]</f>
        <v>60896</v>
      </c>
    </row>
    <row r="98" spans="1:27" s="52" customFormat="1" ht="23.25" customHeight="1">
      <c r="A98" s="67" t="s">
        <v>129</v>
      </c>
      <c r="B98" s="72" t="s">
        <v>260</v>
      </c>
      <c r="C98" s="72" t="s">
        <v>259</v>
      </c>
      <c r="D98" s="72" t="s">
        <v>497</v>
      </c>
      <c r="E98" s="63"/>
      <c r="F98" s="63"/>
      <c r="G98" s="63"/>
      <c r="H98" s="63">
        <v>0</v>
      </c>
      <c r="I98" s="63">
        <v>0</v>
      </c>
      <c r="J98" s="81">
        <v>0</v>
      </c>
      <c r="K98" s="63">
        <v>0</v>
      </c>
      <c r="L98" s="63">
        <v>1111</v>
      </c>
      <c r="M98" s="68">
        <f>SUM(Tableau2[[#This Row],[LPR 2021 - repyramidage (agents ITRF)]:[Congé pour projet pédagogique 
EAP 2021]])</f>
        <v>1111</v>
      </c>
      <c r="N98" s="59"/>
      <c r="O98" s="63"/>
      <c r="P98" s="63"/>
      <c r="Q98" s="68">
        <f>Tableau2[[#This Row],[AAP hybridation des formations (P.363)]]+P98</f>
        <v>0</v>
      </c>
      <c r="R98" s="63"/>
      <c r="S98" s="63">
        <v>6292</v>
      </c>
      <c r="T98" s="63">
        <v>2121990</v>
      </c>
      <c r="U98" s="56">
        <v>0</v>
      </c>
      <c r="V98" s="56">
        <v>0</v>
      </c>
      <c r="W98" s="78">
        <f>SUM(Tableau2[[#This Row],[Masse salariale]:[Immobilier (sécurité, accessibilité, loyers, dévolution, Epaurif)]])</f>
        <v>2128282</v>
      </c>
      <c r="X98" s="122">
        <f>Tableau2[[#This Row],[Masse salariale]]+Tableau2[[#This Row],[Actions d''accompagnement ]]</f>
        <v>6292</v>
      </c>
      <c r="Z98" s="49"/>
      <c r="AA98" s="49"/>
    </row>
    <row r="99" spans="1:27" ht="27" customHeight="1">
      <c r="A99" s="67" t="s">
        <v>196</v>
      </c>
      <c r="B99" s="72" t="s">
        <v>252</v>
      </c>
      <c r="C99" s="72" t="s">
        <v>251</v>
      </c>
      <c r="D99" s="72" t="s">
        <v>497</v>
      </c>
      <c r="E99" s="63"/>
      <c r="F99" s="63"/>
      <c r="G99" s="63"/>
      <c r="H99" s="63">
        <v>0</v>
      </c>
      <c r="I99" s="63">
        <v>0</v>
      </c>
      <c r="J99" s="81">
        <v>0</v>
      </c>
      <c r="K99" s="63">
        <v>0</v>
      </c>
      <c r="L99" s="63">
        <v>3333</v>
      </c>
      <c r="M99" s="68">
        <f>SUM(Tableau2[[#This Row],[LPR 2021 - repyramidage (agents ITRF)]:[Congé pour projet pédagogique 
EAP 2021]])</f>
        <v>3333</v>
      </c>
      <c r="N99" s="59"/>
      <c r="O99" s="87"/>
      <c r="P99" s="87"/>
      <c r="Q99" s="89">
        <f>Tableau2[[#This Row],[AAP hybridation des formations (P.363)]]+P99</f>
        <v>0</v>
      </c>
      <c r="R99" s="91"/>
      <c r="S99" s="57">
        <v>1293015</v>
      </c>
      <c r="T99" s="57">
        <v>656920</v>
      </c>
      <c r="U99" s="57">
        <v>0</v>
      </c>
      <c r="V99" s="57">
        <v>0</v>
      </c>
      <c r="W99" s="89">
        <f>SUM(Tableau2[[#This Row],[Masse salariale]:[Immobilier (sécurité, accessibilité, loyers, dévolution, Epaurif)]])</f>
        <v>1949935</v>
      </c>
      <c r="X99" s="122">
        <f>Tableau2[[#This Row],[Masse salariale]]+Tableau2[[#This Row],[Actions d''accompagnement ]]</f>
        <v>1293015</v>
      </c>
    </row>
    <row r="100" spans="1:27" s="52" customFormat="1" ht="23.25" customHeight="1">
      <c r="A100" s="67" t="s">
        <v>286</v>
      </c>
      <c r="B100" s="72" t="s">
        <v>134</v>
      </c>
      <c r="C100" s="72" t="s">
        <v>133</v>
      </c>
      <c r="D100" s="72" t="s">
        <v>497</v>
      </c>
      <c r="E100" s="63">
        <v>1698</v>
      </c>
      <c r="F100" s="63">
        <v>29058</v>
      </c>
      <c r="G100" s="63">
        <v>416174</v>
      </c>
      <c r="H100" s="63">
        <v>240496</v>
      </c>
      <c r="I100" s="63">
        <v>40000</v>
      </c>
      <c r="J100" s="81">
        <v>0</v>
      </c>
      <c r="K100" s="63">
        <v>59674</v>
      </c>
      <c r="L100" s="63">
        <v>20000</v>
      </c>
      <c r="M100" s="68">
        <f>SUM(Tableau2[[#This Row],[LPR 2021 - repyramidage (agents ITRF)]:[Congé pour projet pédagogique 
EAP 2021]])</f>
        <v>807100</v>
      </c>
      <c r="N100" s="59"/>
      <c r="O100" s="63"/>
      <c r="P100" s="63"/>
      <c r="Q100" s="68">
        <f>Tableau2[[#This Row],[AAP hybridation des formations (P.363)]]+P100</f>
        <v>0</v>
      </c>
      <c r="R100" s="63"/>
      <c r="S100" s="63">
        <v>85311962</v>
      </c>
      <c r="T100" s="63">
        <v>6473840</v>
      </c>
      <c r="U100" s="56">
        <v>49496</v>
      </c>
      <c r="V100" s="56">
        <v>155000</v>
      </c>
      <c r="W100" s="78">
        <f>SUM(Tableau2[[#This Row],[Masse salariale]:[Immobilier (sécurité, accessibilité, loyers, dévolution, Epaurif)]])</f>
        <v>91990298</v>
      </c>
      <c r="X100" s="122">
        <f>Tableau2[[#This Row],[Masse salariale]]+Tableau2[[#This Row],[Actions d''accompagnement ]]</f>
        <v>85361458</v>
      </c>
      <c r="Z100" s="49"/>
      <c r="AA100" s="49"/>
    </row>
    <row r="101" spans="1:27" ht="27" customHeight="1">
      <c r="A101" s="67"/>
      <c r="B101" s="72" t="s">
        <v>190</v>
      </c>
      <c r="C101" s="72" t="s">
        <v>189</v>
      </c>
      <c r="D101" s="72" t="s">
        <v>497</v>
      </c>
      <c r="E101" s="63">
        <v>1944</v>
      </c>
      <c r="F101" s="63">
        <v>31028</v>
      </c>
      <c r="G101" s="63">
        <v>451599</v>
      </c>
      <c r="H101" s="63">
        <v>74666</v>
      </c>
      <c r="I101" s="63">
        <v>209000</v>
      </c>
      <c r="J101" s="81">
        <v>169</v>
      </c>
      <c r="K101" s="63">
        <v>79152</v>
      </c>
      <c r="L101" s="63">
        <v>30000</v>
      </c>
      <c r="M101" s="68">
        <f>SUM(Tableau2[[#This Row],[LPR 2021 - repyramidage (agents ITRF)]:[Congé pour projet pédagogique 
EAP 2021]])</f>
        <v>877558</v>
      </c>
      <c r="N101" s="59"/>
      <c r="O101" s="87"/>
      <c r="P101" s="87"/>
      <c r="Q101" s="89">
        <f>Tableau2[[#This Row],[AAP hybridation des formations (P.363)]]+P101</f>
        <v>0</v>
      </c>
      <c r="R101" s="91"/>
      <c r="S101" s="57">
        <v>101136024</v>
      </c>
      <c r="T101" s="57">
        <v>7401023</v>
      </c>
      <c r="U101" s="57">
        <v>151809</v>
      </c>
      <c r="V101" s="57">
        <v>180000</v>
      </c>
      <c r="W101" s="89">
        <f>SUM(Tableau2[[#This Row],[Masse salariale]:[Immobilier (sécurité, accessibilité, loyers, dévolution, Epaurif)]])</f>
        <v>108868856</v>
      </c>
      <c r="X101" s="122">
        <f>Tableau2[[#This Row],[Masse salariale]]+Tableau2[[#This Row],[Actions d''accompagnement ]]</f>
        <v>101287833</v>
      </c>
    </row>
    <row r="102" spans="1:27" s="52" customFormat="1" ht="23.25" customHeight="1">
      <c r="A102" s="67" t="s">
        <v>99</v>
      </c>
      <c r="B102" s="72" t="s">
        <v>262</v>
      </c>
      <c r="C102" s="72" t="s">
        <v>261</v>
      </c>
      <c r="D102" s="72" t="s">
        <v>504</v>
      </c>
      <c r="E102" s="63"/>
      <c r="F102" s="63"/>
      <c r="G102" s="63"/>
      <c r="H102" s="63">
        <v>0</v>
      </c>
      <c r="I102" s="63">
        <v>0</v>
      </c>
      <c r="J102" s="81">
        <v>0</v>
      </c>
      <c r="K102" s="63">
        <v>0</v>
      </c>
      <c r="L102" s="63">
        <v>1111</v>
      </c>
      <c r="M102" s="68">
        <f>SUM(Tableau2[[#This Row],[LPR 2021 - repyramidage (agents ITRF)]:[Congé pour projet pédagogique 
EAP 2021]])</f>
        <v>1111</v>
      </c>
      <c r="N102" s="59"/>
      <c r="O102" s="103"/>
      <c r="P102" s="103"/>
      <c r="Q102" s="73">
        <f>Tableau2[[#This Row],[AAP hybridation des formations (P.363)]]+P102</f>
        <v>0</v>
      </c>
      <c r="R102" s="103"/>
      <c r="S102" s="63">
        <v>927255</v>
      </c>
      <c r="T102" s="63">
        <v>1382368</v>
      </c>
      <c r="U102" s="56">
        <v>0</v>
      </c>
      <c r="V102" s="56">
        <v>150000</v>
      </c>
      <c r="W102" s="78">
        <f>SUM(Tableau2[[#This Row],[Masse salariale]:[Immobilier (sécurité, accessibilité, loyers, dévolution, Epaurif)]])</f>
        <v>2459623</v>
      </c>
      <c r="X102" s="122">
        <f>Tableau2[[#This Row],[Masse salariale]]+Tableau2[[#This Row],[Actions d''accompagnement ]]</f>
        <v>927255</v>
      </c>
      <c r="Z102" s="49"/>
      <c r="AA102" s="49"/>
    </row>
    <row r="103" spans="1:27" ht="27" customHeight="1">
      <c r="A103" s="67" t="s">
        <v>12</v>
      </c>
      <c r="B103" s="72" t="s">
        <v>81</v>
      </c>
      <c r="C103" s="72" t="s">
        <v>80</v>
      </c>
      <c r="D103" s="72" t="s">
        <v>138</v>
      </c>
      <c r="E103" s="63">
        <v>338</v>
      </c>
      <c r="F103" s="63">
        <v>2525</v>
      </c>
      <c r="G103" s="63">
        <v>37042</v>
      </c>
      <c r="H103" s="63">
        <v>0</v>
      </c>
      <c r="I103" s="63">
        <v>0</v>
      </c>
      <c r="J103" s="81">
        <v>0</v>
      </c>
      <c r="K103" s="63">
        <v>3484</v>
      </c>
      <c r="L103" s="63">
        <v>3333</v>
      </c>
      <c r="M103" s="68">
        <f>SUM(Tableau2[[#This Row],[LPR 2021 - repyramidage (agents ITRF)]:[Congé pour projet pédagogique 
EAP 2021]])</f>
        <v>46722</v>
      </c>
      <c r="N103" s="59"/>
      <c r="O103" s="45"/>
      <c r="P103" s="45"/>
      <c r="Q103" s="79">
        <f>Tableau2[[#This Row],[AAP hybridation des formations (P.363)]]+P103</f>
        <v>0</v>
      </c>
      <c r="R103" s="60"/>
      <c r="S103" s="57">
        <v>8030814</v>
      </c>
      <c r="T103" s="57">
        <v>1200630</v>
      </c>
      <c r="U103" s="57">
        <v>20061</v>
      </c>
      <c r="V103" s="57">
        <v>0</v>
      </c>
      <c r="W103" s="89">
        <f>SUM(Tableau2[[#This Row],[Masse salariale]:[Immobilier (sécurité, accessibilité, loyers, dévolution, Epaurif)]])</f>
        <v>9251505</v>
      </c>
      <c r="X103" s="122">
        <f>Tableau2[[#This Row],[Masse salariale]]+Tableau2[[#This Row],[Actions d''accompagnement ]]</f>
        <v>8050875</v>
      </c>
    </row>
    <row r="104" spans="1:27" s="52" customFormat="1" ht="23.25" customHeight="1">
      <c r="A104" s="67" t="s">
        <v>108</v>
      </c>
      <c r="B104" s="72" t="s">
        <v>128</v>
      </c>
      <c r="C104" s="72" t="s">
        <v>127</v>
      </c>
      <c r="D104" s="72" t="s">
        <v>528</v>
      </c>
      <c r="E104" s="63">
        <v>8967</v>
      </c>
      <c r="F104" s="63">
        <v>157430</v>
      </c>
      <c r="G104" s="63">
        <v>2177905</v>
      </c>
      <c r="H104" s="63">
        <v>188336</v>
      </c>
      <c r="I104" s="63">
        <v>388333.00000000105</v>
      </c>
      <c r="J104" s="81">
        <v>139185</v>
      </c>
      <c r="K104" s="63">
        <v>360521</v>
      </c>
      <c r="L104" s="63">
        <v>120000</v>
      </c>
      <c r="M104" s="68">
        <f>SUM(Tableau2[[#This Row],[LPR 2021 - repyramidage (agents ITRF)]:[Congé pour projet pédagogique 
EAP 2021]])</f>
        <v>3540677.0000000009</v>
      </c>
      <c r="N104" s="59"/>
      <c r="O104" s="103"/>
      <c r="P104" s="103"/>
      <c r="Q104" s="73">
        <f>Tableau2[[#This Row],[AAP hybridation des formations (P.363)]]+P104</f>
        <v>0</v>
      </c>
      <c r="R104" s="103"/>
      <c r="S104" s="63">
        <v>445959223</v>
      </c>
      <c r="T104" s="63">
        <v>41851192</v>
      </c>
      <c r="U104" s="56">
        <v>624563</v>
      </c>
      <c r="V104" s="56">
        <v>865000</v>
      </c>
      <c r="W104" s="78">
        <f>SUM(Tableau2[[#This Row],[Masse salariale]:[Immobilier (sécurité, accessibilité, loyers, dévolution, Epaurif)]])</f>
        <v>489299978</v>
      </c>
      <c r="X104" s="122">
        <f>Tableau2[[#This Row],[Masse salariale]]+Tableau2[[#This Row],[Actions d''accompagnement ]]</f>
        <v>446583786</v>
      </c>
      <c r="Z104" s="49"/>
      <c r="AA104" s="49"/>
    </row>
    <row r="105" spans="1:27" ht="27" customHeight="1">
      <c r="A105" s="67" t="s">
        <v>347</v>
      </c>
      <c r="B105" s="72" t="s">
        <v>61</v>
      </c>
      <c r="C105" s="72" t="s">
        <v>60</v>
      </c>
      <c r="D105" s="72" t="s">
        <v>144</v>
      </c>
      <c r="E105" s="63">
        <v>327</v>
      </c>
      <c r="F105" s="63">
        <v>4319</v>
      </c>
      <c r="G105" s="63">
        <v>93167</v>
      </c>
      <c r="H105" s="63">
        <v>0</v>
      </c>
      <c r="I105" s="63">
        <v>0</v>
      </c>
      <c r="J105" s="81">
        <v>70</v>
      </c>
      <c r="K105" s="63">
        <v>9590</v>
      </c>
      <c r="L105" s="63">
        <v>3333</v>
      </c>
      <c r="M105" s="68">
        <f>SUM(Tableau2[[#This Row],[LPR 2021 - repyramidage (agents ITRF)]:[Congé pour projet pédagogique 
EAP 2021]])</f>
        <v>110806</v>
      </c>
      <c r="N105" s="59"/>
      <c r="O105" s="87"/>
      <c r="P105" s="87"/>
      <c r="Q105" s="89">
        <f>Tableau2[[#This Row],[AAP hybridation des formations (P.363)]]+P105</f>
        <v>0</v>
      </c>
      <c r="R105" s="91"/>
      <c r="S105" s="57">
        <v>19556532</v>
      </c>
      <c r="T105" s="57">
        <v>2353314</v>
      </c>
      <c r="U105" s="57">
        <v>26748</v>
      </c>
      <c r="V105" s="57">
        <v>150000</v>
      </c>
      <c r="W105" s="89">
        <f>SUM(Tableau2[[#This Row],[Masse salariale]:[Immobilier (sécurité, accessibilité, loyers, dévolution, Epaurif)]])</f>
        <v>22086594</v>
      </c>
      <c r="X105" s="122">
        <f>Tableau2[[#This Row],[Masse salariale]]+Tableau2[[#This Row],[Actions d''accompagnement ]]</f>
        <v>19583280</v>
      </c>
    </row>
    <row r="106" spans="1:27" s="52" customFormat="1" ht="23.25" customHeight="1">
      <c r="A106" s="67" t="s">
        <v>193</v>
      </c>
      <c r="B106" s="72" t="s">
        <v>267</v>
      </c>
      <c r="C106" s="72" t="s">
        <v>266</v>
      </c>
      <c r="D106" s="72" t="s">
        <v>146</v>
      </c>
      <c r="E106" s="63"/>
      <c r="F106" s="63"/>
      <c r="G106" s="63"/>
      <c r="H106" s="63">
        <v>0</v>
      </c>
      <c r="I106" s="63">
        <v>0</v>
      </c>
      <c r="J106" s="81">
        <v>0</v>
      </c>
      <c r="K106" s="63">
        <v>0</v>
      </c>
      <c r="L106" s="63">
        <v>1111</v>
      </c>
      <c r="M106" s="68">
        <f>SUM(Tableau2[[#This Row],[LPR 2021 - repyramidage (agents ITRF)]:[Congé pour projet pédagogique 
EAP 2021]])</f>
        <v>1111</v>
      </c>
      <c r="N106" s="59"/>
      <c r="O106" s="103"/>
      <c r="P106" s="103"/>
      <c r="Q106" s="73">
        <f>Tableau2[[#This Row],[AAP hybridation des formations (P.363)]]+P106</f>
        <v>0</v>
      </c>
      <c r="R106" s="102"/>
      <c r="S106" s="63">
        <v>152206</v>
      </c>
      <c r="T106" s="63">
        <v>1717482</v>
      </c>
      <c r="U106" s="56">
        <v>0</v>
      </c>
      <c r="V106" s="56">
        <v>100000</v>
      </c>
      <c r="W106" s="78">
        <f>SUM(Tableau2[[#This Row],[Masse salariale]:[Immobilier (sécurité, accessibilité, loyers, dévolution, Epaurif)]])</f>
        <v>1969688</v>
      </c>
      <c r="X106" s="122">
        <f>Tableau2[[#This Row],[Masse salariale]]+Tableau2[[#This Row],[Actions d''accompagnement ]]</f>
        <v>152206</v>
      </c>
      <c r="Z106" s="49"/>
      <c r="AA106" s="49"/>
    </row>
    <row r="107" spans="1:27" ht="27" customHeight="1">
      <c r="A107" s="67"/>
      <c r="B107" s="72" t="s">
        <v>197</v>
      </c>
      <c r="C107" s="72" t="s">
        <v>196</v>
      </c>
      <c r="D107" s="72" t="s">
        <v>146</v>
      </c>
      <c r="E107" s="63">
        <v>1122</v>
      </c>
      <c r="F107" s="63">
        <v>23115</v>
      </c>
      <c r="G107" s="63">
        <v>350099</v>
      </c>
      <c r="H107" s="63">
        <v>190400</v>
      </c>
      <c r="I107" s="63">
        <v>0</v>
      </c>
      <c r="J107" s="81">
        <v>162</v>
      </c>
      <c r="K107" s="63">
        <v>57085</v>
      </c>
      <c r="L107" s="63">
        <v>16667</v>
      </c>
      <c r="M107" s="68">
        <f>SUM(Tableau2[[#This Row],[LPR 2021 - repyramidage (agents ITRF)]:[Congé pour projet pédagogique 
EAP 2021]])</f>
        <v>638650</v>
      </c>
      <c r="N107" s="59"/>
      <c r="O107" s="45"/>
      <c r="P107" s="45"/>
      <c r="Q107" s="79">
        <f>Tableau2[[#This Row],[AAP hybridation des formations (P.363)]]+P107</f>
        <v>0</v>
      </c>
      <c r="R107" s="60"/>
      <c r="S107" s="57">
        <v>65840888</v>
      </c>
      <c r="T107" s="57">
        <v>5974197</v>
      </c>
      <c r="U107" s="57">
        <v>20904</v>
      </c>
      <c r="V107" s="57">
        <v>250000</v>
      </c>
      <c r="W107" s="89">
        <f>SUM(Tableau2[[#This Row],[Masse salariale]:[Immobilier (sécurité, accessibilité, loyers, dévolution, Epaurif)]])</f>
        <v>72085989</v>
      </c>
      <c r="X107" s="122">
        <f>Tableau2[[#This Row],[Masse salariale]]+Tableau2[[#This Row],[Actions d''accompagnement ]]</f>
        <v>65861792</v>
      </c>
    </row>
    <row r="108" spans="1:27" s="52" customFormat="1" ht="23.25" customHeight="1">
      <c r="A108" s="67" t="s">
        <v>51</v>
      </c>
      <c r="B108" s="72" t="s">
        <v>498</v>
      </c>
      <c r="C108" s="72" t="s">
        <v>228</v>
      </c>
      <c r="D108" s="72" t="s">
        <v>490</v>
      </c>
      <c r="E108" s="63"/>
      <c r="F108" s="63"/>
      <c r="G108" s="63"/>
      <c r="H108" s="63">
        <v>0</v>
      </c>
      <c r="I108" s="63">
        <v>0</v>
      </c>
      <c r="J108" s="81">
        <v>-18100</v>
      </c>
      <c r="K108" s="63">
        <v>0</v>
      </c>
      <c r="L108" s="63"/>
      <c r="M108" s="68">
        <f>SUM(Tableau2[[#This Row],[LPR 2021 - repyramidage (agents ITRF)]:[Congé pour projet pédagogique 
EAP 2021]])</f>
        <v>-18100</v>
      </c>
      <c r="N108" s="59"/>
      <c r="O108" s="63"/>
      <c r="P108" s="63"/>
      <c r="Q108" s="68">
        <f>Tableau2[[#This Row],[AAP hybridation des formations (P.363)]]+P108</f>
        <v>0</v>
      </c>
      <c r="R108" s="63"/>
      <c r="S108" s="63">
        <v>646126</v>
      </c>
      <c r="T108" s="63">
        <v>0</v>
      </c>
      <c r="U108" s="56">
        <v>44639</v>
      </c>
      <c r="V108" s="56">
        <v>0</v>
      </c>
      <c r="W108" s="78">
        <f>SUM(Tableau2[[#This Row],[Masse salariale]:[Immobilier (sécurité, accessibilité, loyers, dévolution, Epaurif)]])</f>
        <v>690765</v>
      </c>
      <c r="X108" s="122">
        <f>Tableau2[[#This Row],[Masse salariale]]+Tableau2[[#This Row],[Actions d''accompagnement ]]</f>
        <v>690765</v>
      </c>
      <c r="Z108" s="49"/>
      <c r="AA108" s="49"/>
    </row>
    <row r="109" spans="1:27" ht="27" customHeight="1">
      <c r="A109" s="67" t="s">
        <v>251</v>
      </c>
      <c r="B109" s="72" t="s">
        <v>87</v>
      </c>
      <c r="C109" s="72" t="s">
        <v>86</v>
      </c>
      <c r="D109" s="72" t="s">
        <v>490</v>
      </c>
      <c r="E109" s="63">
        <v>266</v>
      </c>
      <c r="F109" s="63">
        <v>2995</v>
      </c>
      <c r="G109" s="63">
        <v>49460</v>
      </c>
      <c r="H109" s="63">
        <v>0</v>
      </c>
      <c r="I109" s="63">
        <v>0</v>
      </c>
      <c r="J109" s="81">
        <v>0</v>
      </c>
      <c r="K109" s="63">
        <v>5285</v>
      </c>
      <c r="L109" s="63">
        <v>3333</v>
      </c>
      <c r="M109" s="68">
        <f>SUM(Tableau2[[#This Row],[LPR 2021 - repyramidage (agents ITRF)]:[Congé pour projet pédagogique 
EAP 2021]])</f>
        <v>61339</v>
      </c>
      <c r="N109" s="59"/>
      <c r="O109" s="100"/>
      <c r="P109" s="100"/>
      <c r="Q109" s="101">
        <f>Tableau2[[#This Row],[AAP hybridation des formations (P.363)]]+P109</f>
        <v>0</v>
      </c>
      <c r="R109" s="102"/>
      <c r="S109" s="57">
        <v>9700887</v>
      </c>
      <c r="T109" s="57">
        <v>2445458</v>
      </c>
      <c r="U109" s="57">
        <v>17061</v>
      </c>
      <c r="V109" s="57">
        <v>0</v>
      </c>
      <c r="W109" s="58">
        <f>SUM(Tableau2[[#This Row],[Masse salariale]:[Immobilier (sécurité, accessibilité, loyers, dévolution, Epaurif)]])</f>
        <v>12163406</v>
      </c>
      <c r="X109" s="122">
        <f>Tableau2[[#This Row],[Masse salariale]]+Tableau2[[#This Row],[Actions d''accompagnement ]]</f>
        <v>9717948</v>
      </c>
    </row>
    <row r="110" spans="1:27" s="52" customFormat="1" ht="23.25" customHeight="1">
      <c r="A110" s="67" t="s">
        <v>274</v>
      </c>
      <c r="B110" s="72" t="s">
        <v>111</v>
      </c>
      <c r="C110" s="72" t="s">
        <v>110</v>
      </c>
      <c r="D110" s="72" t="s">
        <v>490</v>
      </c>
      <c r="E110" s="63">
        <v>943</v>
      </c>
      <c r="F110" s="63">
        <v>10196</v>
      </c>
      <c r="G110" s="63">
        <v>105980</v>
      </c>
      <c r="H110" s="63">
        <v>0</v>
      </c>
      <c r="I110" s="63">
        <v>0</v>
      </c>
      <c r="J110" s="81">
        <v>126</v>
      </c>
      <c r="K110" s="63">
        <v>15758</v>
      </c>
      <c r="L110" s="63">
        <v>6667</v>
      </c>
      <c r="M110" s="68">
        <f>SUM(Tableau2[[#This Row],[LPR 2021 - repyramidage (agents ITRF)]:[Congé pour projet pédagogique 
EAP 2021]])</f>
        <v>139670</v>
      </c>
      <c r="N110" s="59"/>
      <c r="O110" s="63"/>
      <c r="P110" s="63"/>
      <c r="Q110" s="68">
        <f>Tableau2[[#This Row],[AAP hybridation des formations (P.363)]]+P110</f>
        <v>0</v>
      </c>
      <c r="R110" s="91"/>
      <c r="S110" s="63">
        <v>22204975</v>
      </c>
      <c r="T110" s="63">
        <v>2376134</v>
      </c>
      <c r="U110" s="56">
        <v>22748</v>
      </c>
      <c r="V110" s="56">
        <v>255000</v>
      </c>
      <c r="W110" s="78">
        <f>SUM(Tableau2[[#This Row],[Masse salariale]:[Immobilier (sécurité, accessibilité, loyers, dévolution, Epaurif)]])</f>
        <v>24858857</v>
      </c>
      <c r="X110" s="122">
        <f>Tableau2[[#This Row],[Masse salariale]]+Tableau2[[#This Row],[Actions d''accompagnement ]]</f>
        <v>22227723</v>
      </c>
      <c r="Z110" s="49"/>
      <c r="AA110" s="49"/>
    </row>
    <row r="111" spans="1:27" ht="27" customHeight="1">
      <c r="A111" s="67" t="s">
        <v>212</v>
      </c>
      <c r="B111" s="72" t="s">
        <v>121</v>
      </c>
      <c r="C111" s="72" t="s">
        <v>120</v>
      </c>
      <c r="D111" s="72" t="s">
        <v>490</v>
      </c>
      <c r="E111" s="63">
        <v>821</v>
      </c>
      <c r="F111" s="63">
        <v>14716</v>
      </c>
      <c r="G111" s="63">
        <v>290314</v>
      </c>
      <c r="H111" s="63">
        <v>144241</v>
      </c>
      <c r="I111" s="63">
        <v>76800</v>
      </c>
      <c r="J111" s="81">
        <v>340</v>
      </c>
      <c r="K111" s="63">
        <v>52513</v>
      </c>
      <c r="L111" s="63">
        <v>16667</v>
      </c>
      <c r="M111" s="68">
        <f>SUM(Tableau2[[#This Row],[LPR 2021 - repyramidage (agents ITRF)]:[Congé pour projet pédagogique 
EAP 2021]])</f>
        <v>596412</v>
      </c>
      <c r="N111" s="59"/>
      <c r="O111" s="87"/>
      <c r="P111" s="87"/>
      <c r="Q111" s="89">
        <f>Tableau2[[#This Row],[AAP hybridation des formations (P.363)]]+P111</f>
        <v>0</v>
      </c>
      <c r="R111" s="91"/>
      <c r="S111" s="57">
        <v>57110383</v>
      </c>
      <c r="T111" s="57">
        <v>6362510</v>
      </c>
      <c r="U111" s="57">
        <v>0</v>
      </c>
      <c r="V111" s="57">
        <v>295000</v>
      </c>
      <c r="W111" s="89">
        <f>SUM(Tableau2[[#This Row],[Masse salariale]:[Immobilier (sécurité, accessibilité, loyers, dévolution, Epaurif)]])</f>
        <v>63767893</v>
      </c>
      <c r="X111" s="122">
        <f>Tableau2[[#This Row],[Masse salariale]]+Tableau2[[#This Row],[Actions d''accompagnement ]]</f>
        <v>57110383</v>
      </c>
    </row>
    <row r="112" spans="1:27" s="52" customFormat="1" ht="23.25" customHeight="1">
      <c r="A112" s="67" t="s">
        <v>82</v>
      </c>
      <c r="B112" s="72" t="s">
        <v>106</v>
      </c>
      <c r="C112" s="72" t="s">
        <v>105</v>
      </c>
      <c r="D112" s="72" t="s">
        <v>521</v>
      </c>
      <c r="E112" s="63">
        <v>274</v>
      </c>
      <c r="F112" s="63">
        <v>3345</v>
      </c>
      <c r="G112" s="63">
        <v>74324</v>
      </c>
      <c r="H112" s="63">
        <v>0</v>
      </c>
      <c r="I112" s="63">
        <v>0</v>
      </c>
      <c r="J112" s="81">
        <v>0</v>
      </c>
      <c r="K112" s="63">
        <v>5849</v>
      </c>
      <c r="L112" s="63">
        <v>3333</v>
      </c>
      <c r="M112" s="68">
        <f>SUM(Tableau2[[#This Row],[LPR 2021 - repyramidage (agents ITRF)]:[Congé pour projet pédagogique 
EAP 2021]])</f>
        <v>87125</v>
      </c>
      <c r="N112" s="59"/>
      <c r="O112" s="88"/>
      <c r="P112" s="88"/>
      <c r="Q112" s="90">
        <f>Tableau2[[#This Row],[AAP hybridation des formations (P.363)]]+P112</f>
        <v>0</v>
      </c>
      <c r="R112" s="60"/>
      <c r="S112" s="63">
        <v>13183015</v>
      </c>
      <c r="T112" s="63">
        <v>1958921</v>
      </c>
      <c r="U112" s="56">
        <v>0</v>
      </c>
      <c r="V112" s="56">
        <v>140000</v>
      </c>
      <c r="W112" s="78">
        <f>SUM(Tableau2[[#This Row],[Masse salariale]:[Immobilier (sécurité, accessibilité, loyers, dévolution, Epaurif)]])</f>
        <v>15281936</v>
      </c>
      <c r="X112" s="122">
        <f>Tableau2[[#This Row],[Masse salariale]]+Tableau2[[#This Row],[Actions d''accompagnement ]]</f>
        <v>13183015</v>
      </c>
      <c r="Z112" s="49"/>
      <c r="AA112" s="49"/>
    </row>
    <row r="113" spans="1:27" ht="27" customHeight="1">
      <c r="A113" s="67" t="s">
        <v>114</v>
      </c>
      <c r="B113" s="72" t="s">
        <v>152</v>
      </c>
      <c r="C113" s="72" t="s">
        <v>151</v>
      </c>
      <c r="D113" s="72" t="s">
        <v>521</v>
      </c>
      <c r="E113" s="63">
        <v>2300</v>
      </c>
      <c r="F113" s="63">
        <v>42446</v>
      </c>
      <c r="G113" s="63">
        <v>691280</v>
      </c>
      <c r="H113" s="63">
        <v>117366</v>
      </c>
      <c r="I113" s="63">
        <v>342000</v>
      </c>
      <c r="J113" s="81">
        <v>18765</v>
      </c>
      <c r="K113" s="63">
        <v>123128</v>
      </c>
      <c r="L113" s="63">
        <v>36667</v>
      </c>
      <c r="M113" s="68">
        <f>SUM(Tableau2[[#This Row],[LPR 2021 - repyramidage (agents ITRF)]:[Congé pour projet pédagogique 
EAP 2021]])</f>
        <v>1373952</v>
      </c>
      <c r="N113" s="59"/>
      <c r="O113" s="87"/>
      <c r="P113" s="87"/>
      <c r="Q113" s="89">
        <f>Tableau2[[#This Row],[AAP hybridation des formations (P.363)]]+P113</f>
        <v>0</v>
      </c>
      <c r="R113" s="91"/>
      <c r="S113" s="57">
        <v>129596601</v>
      </c>
      <c r="T113" s="57">
        <v>12089211</v>
      </c>
      <c r="U113" s="57">
        <v>153215</v>
      </c>
      <c r="V113" s="57">
        <v>300000</v>
      </c>
      <c r="W113" s="89">
        <f>SUM(Tableau2[[#This Row],[Masse salariale]:[Immobilier (sécurité, accessibilité, loyers, dévolution, Epaurif)]])</f>
        <v>142139027</v>
      </c>
      <c r="X113" s="122">
        <f>Tableau2[[#This Row],[Masse salariale]]+Tableau2[[#This Row],[Actions d''accompagnement ]]</f>
        <v>129749816</v>
      </c>
    </row>
    <row r="114" spans="1:27" s="52" customFormat="1" ht="23.25" customHeight="1">
      <c r="A114" s="67" t="s">
        <v>86</v>
      </c>
      <c r="B114" s="72" t="s">
        <v>541</v>
      </c>
      <c r="C114" s="72" t="s">
        <v>473</v>
      </c>
      <c r="D114" s="72" t="s">
        <v>508</v>
      </c>
      <c r="E114" s="63"/>
      <c r="F114" s="63"/>
      <c r="G114" s="63"/>
      <c r="H114" s="63"/>
      <c r="I114" s="63"/>
      <c r="J114" s="81">
        <v>0</v>
      </c>
      <c r="K114" s="63"/>
      <c r="L114" s="63"/>
      <c r="M114" s="68">
        <f>SUM(Tableau2[[#This Row],[LPR 2021 - repyramidage (agents ITRF)]:[Congé pour projet pédagogique 
EAP 2021]])</f>
        <v>0</v>
      </c>
      <c r="N114" s="59"/>
      <c r="O114" s="63"/>
      <c r="P114" s="63"/>
      <c r="Q114" s="68">
        <f>Tableau2[[#This Row],[AAP hybridation des formations (P.363)]]+P114</f>
        <v>0</v>
      </c>
      <c r="R114" s="63"/>
      <c r="S114" s="63">
        <v>634389</v>
      </c>
      <c r="T114" s="63">
        <v>2400000</v>
      </c>
      <c r="U114" s="56">
        <v>0</v>
      </c>
      <c r="V114" s="56">
        <v>0</v>
      </c>
      <c r="W114" s="78">
        <f>SUM(Tableau2[[#This Row],[Masse salariale]:[Immobilier (sécurité, accessibilité, loyers, dévolution, Epaurif)]])</f>
        <v>3034389</v>
      </c>
      <c r="X114" s="122">
        <f>Tableau2[[#This Row],[Masse salariale]]+Tableau2[[#This Row],[Actions d''accompagnement ]]</f>
        <v>634389</v>
      </c>
      <c r="Z114" s="49"/>
      <c r="AA114" s="49"/>
    </row>
    <row r="115" spans="1:27" ht="27" customHeight="1">
      <c r="A115" s="67" t="s">
        <v>49</v>
      </c>
      <c r="B115" s="72" t="s">
        <v>543</v>
      </c>
      <c r="C115" s="72" t="s">
        <v>544</v>
      </c>
      <c r="D115" s="72" t="s">
        <v>508</v>
      </c>
      <c r="E115" s="63"/>
      <c r="F115" s="63"/>
      <c r="G115" s="63"/>
      <c r="H115" s="63"/>
      <c r="I115" s="63"/>
      <c r="J115" s="81">
        <v>0</v>
      </c>
      <c r="K115" s="63"/>
      <c r="L115" s="63"/>
      <c r="M115" s="68">
        <f>SUM(Tableau2[[#This Row],[LPR 2021 - repyramidage (agents ITRF)]:[Congé pour projet pédagogique 
EAP 2021]])</f>
        <v>0</v>
      </c>
      <c r="N115" s="59"/>
      <c r="O115" s="45"/>
      <c r="P115" s="45"/>
      <c r="Q115" s="79">
        <f>Tableau2[[#This Row],[AAP hybridation des formations (P.363)]]+P115</f>
        <v>0</v>
      </c>
      <c r="R115" s="60"/>
      <c r="S115" s="57">
        <v>0</v>
      </c>
      <c r="T115" s="57">
        <v>205344</v>
      </c>
      <c r="U115" s="57">
        <v>0</v>
      </c>
      <c r="V115" s="57">
        <v>0</v>
      </c>
      <c r="W115" s="89">
        <f>SUM(Tableau2[[#This Row],[Masse salariale]:[Immobilier (sécurité, accessibilité, loyers, dévolution, Epaurif)]])</f>
        <v>205344</v>
      </c>
      <c r="X115" s="122">
        <f>Tableau2[[#This Row],[Masse salariale]]+Tableau2[[#This Row],[Actions d''accompagnement ]]</f>
        <v>0</v>
      </c>
    </row>
    <row r="116" spans="1:27" s="52" customFormat="1" ht="23.25" customHeight="1">
      <c r="A116" s="67" t="s">
        <v>234</v>
      </c>
      <c r="B116" s="72" t="s">
        <v>546</v>
      </c>
      <c r="C116" s="72" t="s">
        <v>268</v>
      </c>
      <c r="D116" s="72" t="s">
        <v>508</v>
      </c>
      <c r="E116" s="63"/>
      <c r="F116" s="63"/>
      <c r="G116" s="63"/>
      <c r="H116" s="63"/>
      <c r="I116" s="63"/>
      <c r="J116" s="81">
        <v>0</v>
      </c>
      <c r="K116" s="63"/>
      <c r="L116" s="63"/>
      <c r="M116" s="68">
        <f>SUM(Tableau2[[#This Row],[LPR 2021 - repyramidage (agents ITRF)]:[Congé pour projet pédagogique 
EAP 2021]])</f>
        <v>0</v>
      </c>
      <c r="N116" s="59"/>
      <c r="O116" s="103"/>
      <c r="P116" s="103"/>
      <c r="Q116" s="73">
        <f>Tableau2[[#This Row],[AAP hybridation des formations (P.363)]]+P116</f>
        <v>0</v>
      </c>
      <c r="R116" s="103"/>
      <c r="S116" s="63">
        <v>320836</v>
      </c>
      <c r="T116" s="63">
        <v>0</v>
      </c>
      <c r="U116" s="56">
        <v>0</v>
      </c>
      <c r="V116" s="56">
        <v>0</v>
      </c>
      <c r="W116" s="78">
        <f>SUM(Tableau2[[#This Row],[Masse salariale]:[Immobilier (sécurité, accessibilité, loyers, dévolution, Epaurif)]])</f>
        <v>320836</v>
      </c>
      <c r="X116" s="122">
        <f>Tableau2[[#This Row],[Masse salariale]]+Tableau2[[#This Row],[Actions d''accompagnement ]]</f>
        <v>320836</v>
      </c>
      <c r="Z116" s="49"/>
      <c r="AA116" s="49"/>
    </row>
    <row r="117" spans="1:27" ht="27" customHeight="1">
      <c r="A117" s="67" t="s">
        <v>238</v>
      </c>
      <c r="B117" s="72" t="s">
        <v>548</v>
      </c>
      <c r="C117" s="72" t="s">
        <v>29</v>
      </c>
      <c r="D117" s="72" t="s">
        <v>508</v>
      </c>
      <c r="E117" s="63"/>
      <c r="F117" s="63"/>
      <c r="G117" s="63"/>
      <c r="H117" s="63"/>
      <c r="I117" s="63"/>
      <c r="J117" s="81">
        <v>0</v>
      </c>
      <c r="K117" s="63"/>
      <c r="L117" s="63"/>
      <c r="M117" s="68">
        <f>SUM(Tableau2[[#This Row],[LPR 2021 - repyramidage (agents ITRF)]:[Congé pour projet pédagogique 
EAP 2021]])</f>
        <v>0</v>
      </c>
      <c r="N117" s="59"/>
      <c r="O117" s="45"/>
      <c r="P117" s="45"/>
      <c r="Q117" s="79">
        <f>Tableau2[[#This Row],[AAP hybridation des formations (P.363)]]+P117</f>
        <v>0</v>
      </c>
      <c r="R117" s="60"/>
      <c r="S117" s="57">
        <v>986462</v>
      </c>
      <c r="T117" s="57">
        <v>185910</v>
      </c>
      <c r="U117" s="57">
        <v>0</v>
      </c>
      <c r="V117" s="57">
        <v>0</v>
      </c>
      <c r="W117" s="89">
        <f>SUM(Tableau2[[#This Row],[Masse salariale]:[Immobilier (sécurité, accessibilité, loyers, dévolution, Epaurif)]])</f>
        <v>1172372</v>
      </c>
      <c r="X117" s="122">
        <f>Tableau2[[#This Row],[Masse salariale]]+Tableau2[[#This Row],[Actions d''accompagnement ]]</f>
        <v>986462</v>
      </c>
    </row>
    <row r="118" spans="1:27" s="52" customFormat="1" ht="23.25" customHeight="1">
      <c r="A118" s="67" t="s">
        <v>477</v>
      </c>
      <c r="B118" s="72" t="s">
        <v>275</v>
      </c>
      <c r="C118" s="72" t="s">
        <v>274</v>
      </c>
      <c r="D118" s="72" t="s">
        <v>508</v>
      </c>
      <c r="E118" s="63"/>
      <c r="F118" s="63"/>
      <c r="G118" s="63"/>
      <c r="H118" s="63">
        <v>0</v>
      </c>
      <c r="I118" s="63">
        <v>0</v>
      </c>
      <c r="J118" s="81">
        <v>0</v>
      </c>
      <c r="K118" s="63">
        <v>0</v>
      </c>
      <c r="L118" s="63">
        <v>1111</v>
      </c>
      <c r="M118" s="68">
        <f>SUM(Tableau2[[#This Row],[LPR 2021 - repyramidage (agents ITRF)]:[Congé pour projet pédagogique 
EAP 2021]])</f>
        <v>1111</v>
      </c>
      <c r="N118" s="59"/>
      <c r="O118" s="103"/>
      <c r="P118" s="103"/>
      <c r="Q118" s="73">
        <f>Tableau2[[#This Row],[AAP hybridation des formations (P.363)]]+P118</f>
        <v>0</v>
      </c>
      <c r="R118" s="102"/>
      <c r="S118" s="63">
        <v>219908</v>
      </c>
      <c r="T118" s="63">
        <v>2559712</v>
      </c>
      <c r="U118" s="56">
        <v>0</v>
      </c>
      <c r="V118" s="56">
        <v>0</v>
      </c>
      <c r="W118" s="78">
        <f>SUM(Tableau2[[#This Row],[Masse salariale]:[Immobilier (sécurité, accessibilité, loyers, dévolution, Epaurif)]])</f>
        <v>2779620</v>
      </c>
      <c r="X118" s="122">
        <f>Tableau2[[#This Row],[Masse salariale]]+Tableau2[[#This Row],[Actions d''accompagnement ]]</f>
        <v>219908</v>
      </c>
      <c r="Z118" s="49"/>
      <c r="AA118" s="49"/>
    </row>
    <row r="119" spans="1:27" ht="27" customHeight="1">
      <c r="A119" s="67" t="s">
        <v>116</v>
      </c>
      <c r="B119" s="72" t="s">
        <v>71</v>
      </c>
      <c r="C119" s="72" t="s">
        <v>70</v>
      </c>
      <c r="D119" s="72" t="s">
        <v>508</v>
      </c>
      <c r="E119" s="63">
        <v>1610</v>
      </c>
      <c r="F119" s="63">
        <v>24814</v>
      </c>
      <c r="G119" s="63">
        <v>107388</v>
      </c>
      <c r="H119" s="63">
        <v>0</v>
      </c>
      <c r="I119" s="63">
        <v>0</v>
      </c>
      <c r="J119" s="81">
        <v>87100</v>
      </c>
      <c r="K119" s="63">
        <v>31976</v>
      </c>
      <c r="L119" s="63">
        <v>6667</v>
      </c>
      <c r="M119" s="68">
        <f>SUM(Tableau2[[#This Row],[LPR 2021 - repyramidage (agents ITRF)]:[Congé pour projet pédagogique 
EAP 2021]])</f>
        <v>259555</v>
      </c>
      <c r="N119" s="59"/>
      <c r="O119" s="45"/>
      <c r="P119" s="45"/>
      <c r="Q119" s="79">
        <f>Tableau2[[#This Row],[AAP hybridation des formations (P.363)]]+P119</f>
        <v>0</v>
      </c>
      <c r="R119" s="60"/>
      <c r="S119" s="57">
        <v>76063504</v>
      </c>
      <c r="T119" s="57">
        <v>11482103</v>
      </c>
      <c r="U119" s="57">
        <v>622638</v>
      </c>
      <c r="V119" s="57">
        <v>225000</v>
      </c>
      <c r="W119" s="89">
        <f>SUM(Tableau2[[#This Row],[Masse salariale]:[Immobilier (sécurité, accessibilité, loyers, dévolution, Epaurif)]])</f>
        <v>88393245</v>
      </c>
      <c r="X119" s="122">
        <f>Tableau2[[#This Row],[Masse salariale]]+Tableau2[[#This Row],[Actions d''accompagnement ]]</f>
        <v>76686142</v>
      </c>
    </row>
    <row r="120" spans="1:27" s="52" customFormat="1" ht="23.25" customHeight="1">
      <c r="A120" s="67" t="s">
        <v>446</v>
      </c>
      <c r="B120" s="72" t="s">
        <v>79</v>
      </c>
      <c r="C120" s="72" t="s">
        <v>78</v>
      </c>
      <c r="D120" s="72" t="s">
        <v>508</v>
      </c>
      <c r="E120" s="63">
        <v>1943</v>
      </c>
      <c r="F120" s="63">
        <v>33862</v>
      </c>
      <c r="G120" s="63">
        <v>258533</v>
      </c>
      <c r="H120" s="63">
        <v>0</v>
      </c>
      <c r="I120" s="63">
        <v>0</v>
      </c>
      <c r="J120" s="81">
        <v>68</v>
      </c>
      <c r="K120" s="63">
        <v>59884</v>
      </c>
      <c r="L120" s="63">
        <v>13333</v>
      </c>
      <c r="M120" s="68">
        <f>SUM(Tableau2[[#This Row],[LPR 2021 - repyramidage (agents ITRF)]:[Congé pour projet pédagogique 
EAP 2021]])</f>
        <v>367623</v>
      </c>
      <c r="N120" s="59"/>
      <c r="O120" s="103"/>
      <c r="P120" s="103"/>
      <c r="Q120" s="73">
        <f>Tableau2[[#This Row],[AAP hybridation des formations (P.363)]]+P120</f>
        <v>0</v>
      </c>
      <c r="R120" s="103"/>
      <c r="S120" s="63">
        <v>63924555</v>
      </c>
      <c r="T120" s="63">
        <v>8663798</v>
      </c>
      <c r="U120" s="56">
        <v>201038</v>
      </c>
      <c r="V120" s="56">
        <v>275000</v>
      </c>
      <c r="W120" s="78">
        <f>SUM(Tableau2[[#This Row],[Masse salariale]:[Immobilier (sécurité, accessibilité, loyers, dévolution, Epaurif)]])</f>
        <v>73064391</v>
      </c>
      <c r="X120" s="122">
        <f>Tableau2[[#This Row],[Masse salariale]]+Tableau2[[#This Row],[Actions d''accompagnement ]]</f>
        <v>64125593</v>
      </c>
      <c r="Z120" s="49"/>
      <c r="AA120" s="49"/>
    </row>
    <row r="121" spans="1:27" ht="27" customHeight="1">
      <c r="A121" s="67" t="s">
        <v>124</v>
      </c>
      <c r="B121" s="72" t="s">
        <v>83</v>
      </c>
      <c r="C121" s="72" t="s">
        <v>82</v>
      </c>
      <c r="D121" s="72" t="s">
        <v>508</v>
      </c>
      <c r="E121" s="63">
        <v>223</v>
      </c>
      <c r="F121" s="63">
        <v>3328</v>
      </c>
      <c r="G121" s="63">
        <v>44260</v>
      </c>
      <c r="H121" s="63">
        <v>0</v>
      </c>
      <c r="I121" s="63">
        <v>0</v>
      </c>
      <c r="J121" s="81">
        <v>0</v>
      </c>
      <c r="K121" s="63">
        <v>3983</v>
      </c>
      <c r="L121" s="63">
        <v>3333</v>
      </c>
      <c r="M121" s="68">
        <f>SUM(Tableau2[[#This Row],[LPR 2021 - repyramidage (agents ITRF)]:[Congé pour projet pédagogique 
EAP 2021]])</f>
        <v>55127</v>
      </c>
      <c r="N121" s="59"/>
      <c r="O121" s="87"/>
      <c r="P121" s="87"/>
      <c r="Q121" s="89">
        <f>Tableau2[[#This Row],[AAP hybridation des formations (P.363)]]+P121</f>
        <v>0</v>
      </c>
      <c r="R121" s="91"/>
      <c r="S121" s="57">
        <v>8362889</v>
      </c>
      <c r="T121" s="57">
        <v>1537771</v>
      </c>
      <c r="U121" s="57">
        <v>26748</v>
      </c>
      <c r="V121" s="57">
        <v>325000</v>
      </c>
      <c r="W121" s="89">
        <f>SUM(Tableau2[[#This Row],[Masse salariale]:[Immobilier (sécurité, accessibilité, loyers, dévolution, Epaurif)]])</f>
        <v>10252408</v>
      </c>
      <c r="X121" s="122">
        <f>Tableau2[[#This Row],[Masse salariale]]+Tableau2[[#This Row],[Actions d''accompagnement ]]</f>
        <v>8389637</v>
      </c>
    </row>
    <row r="122" spans="1:27" s="52" customFormat="1" ht="23.25" customHeight="1">
      <c r="A122" s="67" t="s">
        <v>60</v>
      </c>
      <c r="B122" s="72" t="s">
        <v>518</v>
      </c>
      <c r="C122" s="72" t="s">
        <v>276</v>
      </c>
      <c r="D122" s="72" t="s">
        <v>508</v>
      </c>
      <c r="E122" s="63"/>
      <c r="F122" s="63"/>
      <c r="G122" s="63"/>
      <c r="H122" s="63">
        <v>0</v>
      </c>
      <c r="I122" s="63">
        <v>0</v>
      </c>
      <c r="J122" s="81">
        <v>0</v>
      </c>
      <c r="K122" s="63">
        <v>0</v>
      </c>
      <c r="L122" s="63">
        <v>1111</v>
      </c>
      <c r="M122" s="68">
        <f>SUM(Tableau2[[#This Row],[LPR 2021 - repyramidage (agents ITRF)]:[Congé pour projet pédagogique 
EAP 2021]])</f>
        <v>1111</v>
      </c>
      <c r="N122" s="59"/>
      <c r="O122" s="103"/>
      <c r="P122" s="103"/>
      <c r="Q122" s="73">
        <f>Tableau2[[#This Row],[AAP hybridation des formations (P.363)]]+P122</f>
        <v>0</v>
      </c>
      <c r="R122" s="102"/>
      <c r="S122" s="63">
        <v>208075</v>
      </c>
      <c r="T122" s="63">
        <v>763608</v>
      </c>
      <c r="U122" s="56">
        <v>0</v>
      </c>
      <c r="V122" s="56">
        <v>0</v>
      </c>
      <c r="W122" s="78">
        <f>SUM(Tableau2[[#This Row],[Masse salariale]:[Immobilier (sécurité, accessibilité, loyers, dévolution, Epaurif)]])</f>
        <v>971683</v>
      </c>
      <c r="X122" s="122">
        <f>Tableau2[[#This Row],[Masse salariale]]+Tableau2[[#This Row],[Actions d''accompagnement ]]</f>
        <v>208075</v>
      </c>
      <c r="Z122" s="49"/>
      <c r="AA122" s="49"/>
    </row>
    <row r="123" spans="1:27" ht="27" customHeight="1">
      <c r="A123" s="67" t="s">
        <v>447</v>
      </c>
      <c r="B123" s="72" t="s">
        <v>281</v>
      </c>
      <c r="C123" s="72" t="s">
        <v>280</v>
      </c>
      <c r="D123" s="72" t="s">
        <v>508</v>
      </c>
      <c r="E123" s="63"/>
      <c r="F123" s="63"/>
      <c r="G123" s="63"/>
      <c r="H123" s="63">
        <v>0</v>
      </c>
      <c r="I123" s="63">
        <v>0</v>
      </c>
      <c r="J123" s="81">
        <v>0</v>
      </c>
      <c r="K123" s="63">
        <v>0</v>
      </c>
      <c r="L123" s="63">
        <v>3333</v>
      </c>
      <c r="M123" s="68">
        <f>SUM(Tableau2[[#This Row],[LPR 2021 - repyramidage (agents ITRF)]:[Congé pour projet pédagogique 
EAP 2021]])</f>
        <v>3333</v>
      </c>
      <c r="N123" s="59"/>
      <c r="O123" s="100"/>
      <c r="P123" s="100"/>
      <c r="Q123" s="101">
        <f>Tableau2[[#This Row],[AAP hybridation des formations (P.363)]]+P123</f>
        <v>0</v>
      </c>
      <c r="R123" s="102"/>
      <c r="S123" s="57">
        <v>986344</v>
      </c>
      <c r="T123" s="57">
        <v>2828111</v>
      </c>
      <c r="U123" s="57">
        <v>26748</v>
      </c>
      <c r="V123" s="57">
        <v>0</v>
      </c>
      <c r="W123" s="58">
        <f>SUM(Tableau2[[#This Row],[Masse salariale]:[Immobilier (sécurité, accessibilité, loyers, dévolution, Epaurif)]])</f>
        <v>3841203</v>
      </c>
      <c r="X123" s="122">
        <f>Tableau2[[#This Row],[Masse salariale]]+Tableau2[[#This Row],[Actions d''accompagnement ]]</f>
        <v>1013092</v>
      </c>
    </row>
    <row r="124" spans="1:27" s="52" customFormat="1" ht="23.25" customHeight="1">
      <c r="A124" s="67" t="s">
        <v>141</v>
      </c>
      <c r="B124" s="72" t="s">
        <v>283</v>
      </c>
      <c r="C124" s="72" t="s">
        <v>282</v>
      </c>
      <c r="D124" s="72" t="s">
        <v>508</v>
      </c>
      <c r="E124" s="63">
        <v>987</v>
      </c>
      <c r="F124" s="63">
        <v>14970</v>
      </c>
      <c r="G124" s="63">
        <v>74901</v>
      </c>
      <c r="H124" s="63">
        <v>0</v>
      </c>
      <c r="I124" s="63">
        <v>0</v>
      </c>
      <c r="J124" s="81">
        <v>0</v>
      </c>
      <c r="K124" s="63">
        <v>14481</v>
      </c>
      <c r="L124" s="63">
        <v>3333</v>
      </c>
      <c r="M124" s="68">
        <f>SUM(Tableau2[[#This Row],[LPR 2021 - repyramidage (agents ITRF)]:[Congé pour projet pédagogique 
EAP 2021]])</f>
        <v>108672</v>
      </c>
      <c r="N124" s="59"/>
      <c r="O124" s="63"/>
      <c r="P124" s="63"/>
      <c r="Q124" s="68">
        <f>Tableau2[[#This Row],[AAP hybridation des formations (P.363)]]+P124</f>
        <v>0</v>
      </c>
      <c r="R124" s="91"/>
      <c r="S124" s="63">
        <v>24309067</v>
      </c>
      <c r="T124" s="63">
        <v>5560304</v>
      </c>
      <c r="U124" s="56">
        <v>0</v>
      </c>
      <c r="V124" s="56">
        <v>280000</v>
      </c>
      <c r="W124" s="78">
        <f>SUM(Tableau2[[#This Row],[Masse salariale]:[Immobilier (sécurité, accessibilité, loyers, dévolution, Epaurif)]])</f>
        <v>30149371</v>
      </c>
      <c r="X124" s="122">
        <f>Tableau2[[#This Row],[Masse salariale]]+Tableau2[[#This Row],[Actions d''accompagnement ]]</f>
        <v>24309067</v>
      </c>
      <c r="Z124" s="49"/>
      <c r="AA124" s="49"/>
    </row>
    <row r="125" spans="1:27" ht="27" customHeight="1">
      <c r="A125" s="67" t="s">
        <v>200</v>
      </c>
      <c r="B125" s="72" t="s">
        <v>154</v>
      </c>
      <c r="C125" s="72" t="s">
        <v>153</v>
      </c>
      <c r="D125" s="72" t="s">
        <v>508</v>
      </c>
      <c r="E125" s="63">
        <v>2165</v>
      </c>
      <c r="F125" s="63">
        <v>55052</v>
      </c>
      <c r="G125" s="63">
        <v>737939</v>
      </c>
      <c r="H125" s="63">
        <v>325805</v>
      </c>
      <c r="I125" s="63">
        <v>0</v>
      </c>
      <c r="J125" s="81">
        <v>-36037</v>
      </c>
      <c r="K125" s="63">
        <v>117786</v>
      </c>
      <c r="L125" s="63">
        <v>36667</v>
      </c>
      <c r="M125" s="68">
        <f>SUM(Tableau2[[#This Row],[LPR 2021 - repyramidage (agents ITRF)]:[Congé pour projet pédagogique 
EAP 2021]])</f>
        <v>1239377</v>
      </c>
      <c r="N125" s="59"/>
      <c r="O125" s="100"/>
      <c r="P125" s="100"/>
      <c r="Q125" s="101">
        <f>Tableau2[[#This Row],[AAP hybridation des formations (P.363)]]+P125</f>
        <v>0</v>
      </c>
      <c r="R125" s="102"/>
      <c r="S125" s="57">
        <v>165992228</v>
      </c>
      <c r="T125" s="57">
        <v>9649115</v>
      </c>
      <c r="U125" s="57">
        <v>4351514</v>
      </c>
      <c r="V125" s="57">
        <v>245000</v>
      </c>
      <c r="W125" s="58">
        <f>SUM(Tableau2[[#This Row],[Masse salariale]:[Immobilier (sécurité, accessibilité, loyers, dévolution, Epaurif)]])</f>
        <v>180237857</v>
      </c>
      <c r="X125" s="122">
        <f>Tableau2[[#This Row],[Masse salariale]]+Tableau2[[#This Row],[Actions d''accompagnement ]]</f>
        <v>170343742</v>
      </c>
    </row>
    <row r="126" spans="1:27" s="52" customFormat="1" ht="23.25" customHeight="1">
      <c r="A126" s="67"/>
      <c r="B126" s="72" t="s">
        <v>158</v>
      </c>
      <c r="C126" s="72" t="s">
        <v>157</v>
      </c>
      <c r="D126" s="72" t="s">
        <v>508</v>
      </c>
      <c r="E126" s="63">
        <v>1033</v>
      </c>
      <c r="F126" s="63">
        <v>26518</v>
      </c>
      <c r="G126" s="63">
        <v>406225</v>
      </c>
      <c r="H126" s="63">
        <v>135641</v>
      </c>
      <c r="I126" s="63">
        <v>0</v>
      </c>
      <c r="J126" s="81">
        <v>0</v>
      </c>
      <c r="K126" s="63">
        <v>58761</v>
      </c>
      <c r="L126" s="63">
        <v>20000</v>
      </c>
      <c r="M126" s="68">
        <f>SUM(Tableau2[[#This Row],[LPR 2021 - repyramidage (agents ITRF)]:[Congé pour projet pédagogique 
EAP 2021]])</f>
        <v>648178</v>
      </c>
      <c r="N126" s="59"/>
      <c r="O126" s="103"/>
      <c r="P126" s="103"/>
      <c r="Q126" s="73">
        <f>Tableau2[[#This Row],[AAP hybridation des formations (P.363)]]+P126</f>
        <v>0</v>
      </c>
      <c r="R126" s="103"/>
      <c r="S126" s="63">
        <v>86852059</v>
      </c>
      <c r="T126" s="63">
        <v>7446150</v>
      </c>
      <c r="U126" s="56">
        <v>1057245</v>
      </c>
      <c r="V126" s="56">
        <v>130000</v>
      </c>
      <c r="W126" s="78">
        <f>SUM(Tableau2[[#This Row],[Masse salariale]:[Immobilier (sécurité, accessibilité, loyers, dévolution, Epaurif)]])</f>
        <v>95485454</v>
      </c>
      <c r="X126" s="122">
        <f>Tableau2[[#This Row],[Masse salariale]]+Tableau2[[#This Row],[Actions d''accompagnement ]]</f>
        <v>87909304</v>
      </c>
      <c r="Z126" s="49"/>
      <c r="AA126" s="49"/>
    </row>
    <row r="127" spans="1:27" ht="27" customHeight="1">
      <c r="A127" s="67"/>
      <c r="B127" s="72" t="s">
        <v>559</v>
      </c>
      <c r="C127" s="72" t="s">
        <v>560</v>
      </c>
      <c r="D127" s="72" t="s">
        <v>508</v>
      </c>
      <c r="E127" s="63"/>
      <c r="F127" s="63"/>
      <c r="G127" s="63"/>
      <c r="H127" s="63"/>
      <c r="I127" s="63"/>
      <c r="J127" s="81">
        <v>0</v>
      </c>
      <c r="K127" s="63"/>
      <c r="L127" s="63"/>
      <c r="M127" s="68">
        <f>SUM(Tableau2[[#This Row],[LPR 2021 - repyramidage (agents ITRF)]:[Congé pour projet pédagogique 
EAP 2021]])</f>
        <v>0</v>
      </c>
      <c r="N127" s="59"/>
      <c r="O127" s="87"/>
      <c r="P127" s="87"/>
      <c r="Q127" s="89">
        <f>Tableau2[[#This Row],[AAP hybridation des formations (P.363)]]+P127</f>
        <v>0</v>
      </c>
      <c r="R127" s="91"/>
      <c r="S127" s="57">
        <v>3575148</v>
      </c>
      <c r="T127" s="57">
        <v>1630390</v>
      </c>
      <c r="U127" s="57">
        <v>300000</v>
      </c>
      <c r="V127" s="57">
        <v>0</v>
      </c>
      <c r="W127" s="89">
        <f>SUM(Tableau2[[#This Row],[Masse salariale]:[Immobilier (sécurité, accessibilité, loyers, dévolution, Epaurif)]])</f>
        <v>5505538</v>
      </c>
      <c r="X127" s="122">
        <f>Tableau2[[#This Row],[Masse salariale]]+Tableau2[[#This Row],[Actions d''accompagnement ]]</f>
        <v>3875148</v>
      </c>
    </row>
    <row r="128" spans="1:27" s="52" customFormat="1" ht="23.25" customHeight="1">
      <c r="A128" s="67" t="s">
        <v>72</v>
      </c>
      <c r="B128" s="72" t="s">
        <v>547</v>
      </c>
      <c r="C128" s="72" t="s">
        <v>284</v>
      </c>
      <c r="D128" s="72" t="s">
        <v>178</v>
      </c>
      <c r="E128" s="63"/>
      <c r="F128" s="63"/>
      <c r="G128" s="63"/>
      <c r="H128" s="63"/>
      <c r="I128" s="63"/>
      <c r="J128" s="81">
        <v>0</v>
      </c>
      <c r="K128" s="63"/>
      <c r="L128" s="63"/>
      <c r="M128" s="68">
        <f>SUM(Tableau2[[#This Row],[LPR 2021 - repyramidage (agents ITRF)]:[Congé pour projet pédagogique 
EAP 2021]])</f>
        <v>0</v>
      </c>
      <c r="N128" s="59"/>
      <c r="O128" s="63"/>
      <c r="P128" s="63"/>
      <c r="Q128" s="68">
        <f>Tableau2[[#This Row],[AAP hybridation des formations (P.363)]]+P128</f>
        <v>0</v>
      </c>
      <c r="R128" s="63"/>
      <c r="S128" s="63">
        <v>200000</v>
      </c>
      <c r="T128" s="63">
        <v>0</v>
      </c>
      <c r="U128" s="56">
        <v>8385</v>
      </c>
      <c r="V128" s="56">
        <v>0</v>
      </c>
      <c r="W128" s="78">
        <f>SUM(Tableau2[[#This Row],[Masse salariale]:[Immobilier (sécurité, accessibilité, loyers, dévolution, Epaurif)]])</f>
        <v>208385</v>
      </c>
      <c r="X128" s="122">
        <f>Tableau2[[#This Row],[Masse salariale]]+Tableau2[[#This Row],[Actions d''accompagnement ]]</f>
        <v>208385</v>
      </c>
      <c r="Z128" s="49"/>
      <c r="AA128" s="49"/>
    </row>
    <row r="129" spans="1:27" ht="27" customHeight="1">
      <c r="A129" s="67" t="s">
        <v>90</v>
      </c>
      <c r="B129" s="72" t="s">
        <v>525</v>
      </c>
      <c r="C129" s="72" t="s">
        <v>90</v>
      </c>
      <c r="D129" s="72" t="s">
        <v>178</v>
      </c>
      <c r="E129" s="63">
        <v>338</v>
      </c>
      <c r="F129" s="63">
        <v>5722</v>
      </c>
      <c r="G129" s="63">
        <v>50413</v>
      </c>
      <c r="H129" s="63">
        <v>0</v>
      </c>
      <c r="I129" s="63">
        <v>0</v>
      </c>
      <c r="J129" s="81">
        <v>0</v>
      </c>
      <c r="K129" s="63">
        <v>8308</v>
      </c>
      <c r="L129" s="63">
        <v>3333</v>
      </c>
      <c r="M129" s="68">
        <f>SUM(Tableau2[[#This Row],[LPR 2021 - repyramidage (agents ITRF)]:[Congé pour projet pédagogique 
EAP 2021]])</f>
        <v>68114</v>
      </c>
      <c r="N129" s="59"/>
      <c r="O129" s="100"/>
      <c r="P129" s="100"/>
      <c r="Q129" s="101">
        <f>Tableau2[[#This Row],[AAP hybridation des formations (P.363)]]+P129</f>
        <v>0</v>
      </c>
      <c r="R129" s="102"/>
      <c r="S129" s="57">
        <v>9614756</v>
      </c>
      <c r="T129" s="57">
        <v>1604162</v>
      </c>
      <c r="U129" s="57">
        <v>0</v>
      </c>
      <c r="V129" s="57">
        <v>60000</v>
      </c>
      <c r="W129" s="58">
        <f>SUM(Tableau2[[#This Row],[Masse salariale]:[Immobilier (sécurité, accessibilité, loyers, dévolution, Epaurif)]])</f>
        <v>11278918</v>
      </c>
      <c r="X129" s="122">
        <f>Tableau2[[#This Row],[Masse salariale]]+Tableau2[[#This Row],[Actions d''accompagnement ]]</f>
        <v>9614756</v>
      </c>
    </row>
    <row r="130" spans="1:27" s="52" customFormat="1" ht="23.25" customHeight="1">
      <c r="A130" s="67"/>
      <c r="B130" s="72" t="s">
        <v>178</v>
      </c>
      <c r="C130" s="72" t="s">
        <v>177</v>
      </c>
      <c r="D130" s="72" t="s">
        <v>178</v>
      </c>
      <c r="E130" s="63">
        <v>3032</v>
      </c>
      <c r="F130" s="63">
        <v>65299</v>
      </c>
      <c r="G130" s="63">
        <v>965790</v>
      </c>
      <c r="H130" s="63">
        <v>137934</v>
      </c>
      <c r="I130" s="63">
        <v>791666.99999999907</v>
      </c>
      <c r="J130" s="81">
        <v>805</v>
      </c>
      <c r="K130" s="63">
        <v>174597</v>
      </c>
      <c r="L130" s="63">
        <v>53333</v>
      </c>
      <c r="M130" s="68">
        <f>SUM(Tableau2[[#This Row],[LPR 2021 - repyramidage (agents ITRF)]:[Congé pour projet pédagogique 
EAP 2021]])</f>
        <v>2192456.9999999991</v>
      </c>
      <c r="N130" s="59"/>
      <c r="O130" s="63"/>
      <c r="P130" s="63"/>
      <c r="Q130" s="68">
        <f>Tableau2[[#This Row],[AAP hybridation des formations (P.363)]]+P130</f>
        <v>0</v>
      </c>
      <c r="R130" s="91"/>
      <c r="S130" s="63">
        <v>177369492</v>
      </c>
      <c r="T130" s="63">
        <v>17819449</v>
      </c>
      <c r="U130" s="56">
        <v>159643</v>
      </c>
      <c r="V130" s="56">
        <v>10800000</v>
      </c>
      <c r="W130" s="78">
        <f>SUM(Tableau2[[#This Row],[Masse salariale]:[Immobilier (sécurité, accessibilité, loyers, dévolution, Epaurif)]])</f>
        <v>206148584</v>
      </c>
      <c r="X130" s="122">
        <f>Tableau2[[#This Row],[Masse salariale]]+Tableau2[[#This Row],[Actions d''accompagnement ]]</f>
        <v>177529135</v>
      </c>
      <c r="Z130" s="49"/>
      <c r="AA130" s="49"/>
    </row>
    <row r="131" spans="1:27" ht="27" customHeight="1">
      <c r="A131" s="67"/>
      <c r="B131" s="72" t="s">
        <v>536</v>
      </c>
      <c r="C131" s="72" t="s">
        <v>179</v>
      </c>
      <c r="D131" s="72" t="s">
        <v>536</v>
      </c>
      <c r="E131" s="63">
        <v>0</v>
      </c>
      <c r="F131" s="63">
        <v>0</v>
      </c>
      <c r="G131" s="63">
        <v>81899</v>
      </c>
      <c r="H131" s="63">
        <v>24000</v>
      </c>
      <c r="I131" s="63">
        <v>146700</v>
      </c>
      <c r="J131" s="81">
        <v>163</v>
      </c>
      <c r="K131" s="63">
        <v>15275</v>
      </c>
      <c r="L131" s="63">
        <v>3333</v>
      </c>
      <c r="M131" s="68">
        <f>SUM(Tableau2[[#This Row],[LPR 2021 - repyramidage (agents ITRF)]:[Congé pour projet pédagogique 
EAP 2021]])</f>
        <v>271370</v>
      </c>
      <c r="N131" s="59"/>
      <c r="O131" s="45"/>
      <c r="P131" s="45"/>
      <c r="Q131" s="79">
        <f>Tableau2[[#This Row],[AAP hybridation des formations (P.363)]]+P131</f>
        <v>0</v>
      </c>
      <c r="R131" s="60"/>
      <c r="S131" s="57">
        <v>25202956</v>
      </c>
      <c r="T131" s="57">
        <v>2141383</v>
      </c>
      <c r="U131" s="57">
        <v>127748</v>
      </c>
      <c r="V131" s="57">
        <v>55000</v>
      </c>
      <c r="W131" s="89">
        <f>SUM(Tableau2[[#This Row],[Masse salariale]:[Immobilier (sécurité, accessibilité, loyers, dévolution, Epaurif)]])</f>
        <v>27527087</v>
      </c>
      <c r="X131" s="122">
        <f>Tableau2[[#This Row],[Masse salariale]]+Tableau2[[#This Row],[Actions d''accompagnement ]]</f>
        <v>25330704</v>
      </c>
    </row>
    <row r="132" spans="1:27" s="52" customFormat="1" ht="23.25" customHeight="1">
      <c r="A132" s="67" t="s">
        <v>358</v>
      </c>
      <c r="B132" s="72" t="s">
        <v>289</v>
      </c>
      <c r="C132" s="72" t="s">
        <v>288</v>
      </c>
      <c r="D132" s="72" t="s">
        <v>489</v>
      </c>
      <c r="E132" s="63"/>
      <c r="F132" s="63"/>
      <c r="G132" s="63"/>
      <c r="H132" s="63">
        <v>0</v>
      </c>
      <c r="I132" s="63">
        <v>0</v>
      </c>
      <c r="J132" s="81">
        <v>0</v>
      </c>
      <c r="K132" s="63">
        <v>0</v>
      </c>
      <c r="L132" s="63">
        <v>3333</v>
      </c>
      <c r="M132" s="68">
        <f>SUM(Tableau2[[#This Row],[LPR 2021 - repyramidage (agents ITRF)]:[Congé pour projet pédagogique 
EAP 2021]])</f>
        <v>3333</v>
      </c>
      <c r="N132" s="59"/>
      <c r="O132" s="63"/>
      <c r="P132" s="63"/>
      <c r="Q132" s="68">
        <f>Tableau2[[#This Row],[AAP hybridation des formations (P.363)]]+P132</f>
        <v>0</v>
      </c>
      <c r="R132" s="63"/>
      <c r="S132" s="63">
        <v>1245772</v>
      </c>
      <c r="T132" s="63">
        <v>951392</v>
      </c>
      <c r="U132" s="56">
        <v>0</v>
      </c>
      <c r="V132" s="56">
        <v>0</v>
      </c>
      <c r="W132" s="78">
        <f>SUM(Tableau2[[#This Row],[Masse salariale]:[Immobilier (sécurité, accessibilité, loyers, dévolution, Epaurif)]])</f>
        <v>2197164</v>
      </c>
      <c r="X132" s="122">
        <f>Tableau2[[#This Row],[Masse salariale]]+Tableau2[[#This Row],[Actions d''accompagnement ]]</f>
        <v>1245772</v>
      </c>
      <c r="Z132" s="49"/>
      <c r="AA132" s="49"/>
    </row>
    <row r="133" spans="1:27" ht="27" customHeight="1">
      <c r="A133" s="67" t="s">
        <v>125</v>
      </c>
      <c r="B133" s="72" t="s">
        <v>77</v>
      </c>
      <c r="C133" s="72" t="s">
        <v>76</v>
      </c>
      <c r="D133" s="72" t="s">
        <v>489</v>
      </c>
      <c r="E133" s="63">
        <v>214</v>
      </c>
      <c r="F133" s="63">
        <v>2313</v>
      </c>
      <c r="G133" s="63">
        <v>21082</v>
      </c>
      <c r="H133" s="63">
        <v>0</v>
      </c>
      <c r="I133" s="63">
        <v>0</v>
      </c>
      <c r="J133" s="81">
        <v>0</v>
      </c>
      <c r="K133" s="63">
        <v>3031</v>
      </c>
      <c r="L133" s="63">
        <v>1111</v>
      </c>
      <c r="M133" s="68">
        <f>SUM(Tableau2[[#This Row],[LPR 2021 - repyramidage (agents ITRF)]:[Congé pour projet pédagogique 
EAP 2021]])</f>
        <v>27751</v>
      </c>
      <c r="N133" s="59"/>
      <c r="O133" s="45"/>
      <c r="P133" s="45"/>
      <c r="Q133" s="79">
        <f>Tableau2[[#This Row],[AAP hybridation des formations (P.363)]]+P133</f>
        <v>0</v>
      </c>
      <c r="R133" s="60"/>
      <c r="S133" s="57">
        <v>18845470</v>
      </c>
      <c r="T133" s="57">
        <v>1252757</v>
      </c>
      <c r="U133" s="57">
        <v>86977</v>
      </c>
      <c r="V133" s="57">
        <v>0</v>
      </c>
      <c r="W133" s="89">
        <f>SUM(Tableau2[[#This Row],[Masse salariale]:[Immobilier (sécurité, accessibilité, loyers, dévolution, Epaurif)]])</f>
        <v>20185204</v>
      </c>
      <c r="X133" s="122">
        <f>Tableau2[[#This Row],[Masse salariale]]+Tableau2[[#This Row],[Actions d''accompagnement ]]</f>
        <v>18932447</v>
      </c>
    </row>
    <row r="134" spans="1:27" s="52" customFormat="1" ht="23.25" customHeight="1">
      <c r="A134" s="67" t="s">
        <v>253</v>
      </c>
      <c r="B134" s="72" t="s">
        <v>85</v>
      </c>
      <c r="C134" s="72" t="s">
        <v>84</v>
      </c>
      <c r="D134" s="72" t="s">
        <v>489</v>
      </c>
      <c r="E134" s="63">
        <v>199</v>
      </c>
      <c r="F134" s="63">
        <v>1776</v>
      </c>
      <c r="G134" s="63">
        <v>30280</v>
      </c>
      <c r="H134" s="63">
        <v>29866</v>
      </c>
      <c r="I134" s="63">
        <v>0</v>
      </c>
      <c r="J134" s="81">
        <v>0</v>
      </c>
      <c r="K134" s="63">
        <v>2686</v>
      </c>
      <c r="L134" s="63">
        <v>3333</v>
      </c>
      <c r="M134" s="68">
        <f>SUM(Tableau2[[#This Row],[LPR 2021 - repyramidage (agents ITRF)]:[Congé pour projet pédagogique 
EAP 2021]])</f>
        <v>68140</v>
      </c>
      <c r="N134" s="59"/>
      <c r="O134" s="103"/>
      <c r="P134" s="103"/>
      <c r="Q134" s="73">
        <f>Tableau2[[#This Row],[AAP hybridation des formations (P.363)]]+P134</f>
        <v>0</v>
      </c>
      <c r="R134" s="102"/>
      <c r="S134" s="63">
        <v>6232433</v>
      </c>
      <c r="T134" s="63">
        <v>878228</v>
      </c>
      <c r="U134" s="56">
        <v>22748</v>
      </c>
      <c r="V134" s="56">
        <v>40000</v>
      </c>
      <c r="W134" s="78">
        <f>SUM(Tableau2[[#This Row],[Masse salariale]:[Immobilier (sécurité, accessibilité, loyers, dévolution, Epaurif)]])</f>
        <v>7173409</v>
      </c>
      <c r="X134" s="122">
        <f>Tableau2[[#This Row],[Masse salariale]]+Tableau2[[#This Row],[Actions d''accompagnement ]]</f>
        <v>6255181</v>
      </c>
      <c r="Z134" s="49"/>
      <c r="AA134" s="49"/>
    </row>
    <row r="135" spans="1:27" ht="27" customHeight="1">
      <c r="A135" s="67" t="s">
        <v>475</v>
      </c>
      <c r="B135" s="72" t="s">
        <v>287</v>
      </c>
      <c r="C135" s="72" t="s">
        <v>286</v>
      </c>
      <c r="D135" s="72" t="s">
        <v>489</v>
      </c>
      <c r="E135" s="63"/>
      <c r="F135" s="63"/>
      <c r="G135" s="63"/>
      <c r="H135" s="63">
        <v>0</v>
      </c>
      <c r="I135" s="63">
        <v>0</v>
      </c>
      <c r="J135" s="81">
        <v>0</v>
      </c>
      <c r="K135" s="63">
        <v>0</v>
      </c>
      <c r="L135" s="63">
        <v>1111</v>
      </c>
      <c r="M135" s="68">
        <f>SUM(Tableau2[[#This Row],[LPR 2021 - repyramidage (agents ITRF)]:[Congé pour projet pédagogique 
EAP 2021]])</f>
        <v>1111</v>
      </c>
      <c r="N135" s="59"/>
      <c r="O135" s="45"/>
      <c r="P135" s="45"/>
      <c r="Q135" s="79">
        <f>Tableau2[[#This Row],[AAP hybridation des formations (P.363)]]+P135</f>
        <v>0</v>
      </c>
      <c r="R135" s="60"/>
      <c r="S135" s="57">
        <v>1060530</v>
      </c>
      <c r="T135" s="57">
        <v>352698</v>
      </c>
      <c r="U135" s="57">
        <v>0</v>
      </c>
      <c r="V135" s="57">
        <v>40000</v>
      </c>
      <c r="W135" s="89">
        <f>SUM(Tableau2[[#This Row],[Masse salariale]:[Immobilier (sécurité, accessibilité, loyers, dévolution, Epaurif)]])</f>
        <v>1453228</v>
      </c>
      <c r="X135" s="122">
        <f>Tableau2[[#This Row],[Masse salariale]]+Tableau2[[#This Row],[Actions d''accompagnement ]]</f>
        <v>1060530</v>
      </c>
    </row>
    <row r="136" spans="1:27" s="52" customFormat="1" ht="23.25" customHeight="1">
      <c r="A136" s="67" t="s">
        <v>70</v>
      </c>
      <c r="B136" s="72" t="s">
        <v>109</v>
      </c>
      <c r="C136" s="72" t="s">
        <v>108</v>
      </c>
      <c r="D136" s="72" t="s">
        <v>489</v>
      </c>
      <c r="E136" s="63">
        <v>1228</v>
      </c>
      <c r="F136" s="63">
        <v>17332</v>
      </c>
      <c r="G136" s="63">
        <v>140243</v>
      </c>
      <c r="H136" s="63">
        <v>0</v>
      </c>
      <c r="I136" s="63">
        <v>0</v>
      </c>
      <c r="J136" s="81">
        <v>139</v>
      </c>
      <c r="K136" s="63">
        <v>24810</v>
      </c>
      <c r="L136" s="63">
        <v>6667</v>
      </c>
      <c r="M136" s="68">
        <f>SUM(Tableau2[[#This Row],[LPR 2021 - repyramidage (agents ITRF)]:[Congé pour projet pédagogique 
EAP 2021]])</f>
        <v>190419</v>
      </c>
      <c r="N136" s="59"/>
      <c r="O136" s="103"/>
      <c r="P136" s="103"/>
      <c r="Q136" s="73">
        <f>Tableau2[[#This Row],[AAP hybridation des formations (P.363)]]+P136</f>
        <v>0</v>
      </c>
      <c r="R136" s="102"/>
      <c r="S136" s="63">
        <v>27624125</v>
      </c>
      <c r="T136" s="63">
        <v>2577713</v>
      </c>
      <c r="U136" s="56">
        <v>72244</v>
      </c>
      <c r="V136" s="56">
        <v>200000</v>
      </c>
      <c r="W136" s="78">
        <f>SUM(Tableau2[[#This Row],[Masse salariale]:[Immobilier (sécurité, accessibilité, loyers, dévolution, Epaurif)]])</f>
        <v>30474082</v>
      </c>
      <c r="X136" s="122">
        <f>Tableau2[[#This Row],[Masse salariale]]+Tableau2[[#This Row],[Actions d''accompagnement ]]</f>
        <v>27696369</v>
      </c>
      <c r="Z136" s="49"/>
      <c r="AA136" s="49"/>
    </row>
    <row r="137" spans="1:27" ht="27" customHeight="1">
      <c r="A137" s="67"/>
      <c r="B137" s="72" t="s">
        <v>186</v>
      </c>
      <c r="C137" s="72" t="s">
        <v>185</v>
      </c>
      <c r="D137" s="72" t="s">
        <v>489</v>
      </c>
      <c r="E137" s="63">
        <v>1704</v>
      </c>
      <c r="F137" s="63">
        <v>32824</v>
      </c>
      <c r="G137" s="63">
        <v>517084</v>
      </c>
      <c r="H137" s="63">
        <v>284381</v>
      </c>
      <c r="I137" s="63">
        <v>42666.999999999898</v>
      </c>
      <c r="J137" s="81">
        <v>0</v>
      </c>
      <c r="K137" s="63">
        <v>74969</v>
      </c>
      <c r="L137" s="63">
        <v>23333</v>
      </c>
      <c r="M137" s="68">
        <f>SUM(Tableau2[[#This Row],[LPR 2021 - repyramidage (agents ITRF)]:[Congé pour projet pédagogique 
EAP 2021]])</f>
        <v>976961.99999999988</v>
      </c>
      <c r="N137" s="59"/>
      <c r="O137" s="87"/>
      <c r="P137" s="87"/>
      <c r="Q137" s="89">
        <f>Tableau2[[#This Row],[AAP hybridation des formations (P.363)]]+P137</f>
        <v>0</v>
      </c>
      <c r="R137" s="91"/>
      <c r="S137" s="57">
        <v>90078806</v>
      </c>
      <c r="T137" s="57">
        <v>6504629</v>
      </c>
      <c r="U137" s="57">
        <v>65937</v>
      </c>
      <c r="V137" s="57">
        <v>200000</v>
      </c>
      <c r="W137" s="89">
        <f>SUM(Tableau2[[#This Row],[Masse salariale]:[Immobilier (sécurité, accessibilité, loyers, dévolution, Epaurif)]])</f>
        <v>96849372</v>
      </c>
      <c r="X137" s="122">
        <f>Tableau2[[#This Row],[Masse salariale]]+Tableau2[[#This Row],[Actions d''accompagnement ]]</f>
        <v>90144743</v>
      </c>
    </row>
    <row r="138" spans="1:27" s="52" customFormat="1" ht="23.25" customHeight="1">
      <c r="A138" s="67" t="s">
        <v>20</v>
      </c>
      <c r="B138" s="72" t="s">
        <v>293</v>
      </c>
      <c r="C138" s="72" t="s">
        <v>292</v>
      </c>
      <c r="D138" s="72" t="s">
        <v>194</v>
      </c>
      <c r="E138" s="63"/>
      <c r="F138" s="63"/>
      <c r="G138" s="63"/>
      <c r="H138" s="63"/>
      <c r="I138" s="63"/>
      <c r="J138" s="81">
        <v>0</v>
      </c>
      <c r="K138" s="63"/>
      <c r="L138" s="63"/>
      <c r="M138" s="68">
        <f>SUM(Tableau2[[#This Row],[LPR 2021 - repyramidage (agents ITRF)]:[Congé pour projet pédagogique 
EAP 2021]])</f>
        <v>0</v>
      </c>
      <c r="N138" s="59"/>
      <c r="O138" s="63"/>
      <c r="P138" s="63"/>
      <c r="Q138" s="68">
        <f>Tableau2[[#This Row],[AAP hybridation des formations (P.363)]]+P138</f>
        <v>0</v>
      </c>
      <c r="R138" s="63"/>
      <c r="S138" s="63">
        <v>1367544</v>
      </c>
      <c r="T138" s="63">
        <v>2296134</v>
      </c>
      <c r="U138" s="56">
        <v>5000000</v>
      </c>
      <c r="V138" s="56">
        <v>75000</v>
      </c>
      <c r="W138" s="78">
        <f>SUM(Tableau2[[#This Row],[Masse salariale]:[Immobilier (sécurité, accessibilité, loyers, dévolution, Epaurif)]])</f>
        <v>8738678</v>
      </c>
      <c r="X138" s="122">
        <f>Tableau2[[#This Row],[Masse salariale]]+Tableau2[[#This Row],[Actions d''accompagnement ]]</f>
        <v>6367544</v>
      </c>
      <c r="Z138" s="49"/>
      <c r="AA138" s="49"/>
    </row>
    <row r="139" spans="1:27" ht="27" customHeight="1">
      <c r="A139" s="67" t="s">
        <v>278</v>
      </c>
      <c r="B139" s="72" t="s">
        <v>113</v>
      </c>
      <c r="C139" s="72" t="s">
        <v>112</v>
      </c>
      <c r="D139" s="72" t="s">
        <v>194</v>
      </c>
      <c r="E139" s="63">
        <v>430</v>
      </c>
      <c r="F139" s="63">
        <v>5365</v>
      </c>
      <c r="G139" s="63">
        <v>82067</v>
      </c>
      <c r="H139" s="63">
        <v>0</v>
      </c>
      <c r="I139" s="63">
        <v>0</v>
      </c>
      <c r="J139" s="81">
        <v>89</v>
      </c>
      <c r="K139" s="63">
        <v>12299</v>
      </c>
      <c r="L139" s="63">
        <v>3333</v>
      </c>
      <c r="M139" s="68">
        <f>SUM(Tableau2[[#This Row],[LPR 2021 - repyramidage (agents ITRF)]:[Congé pour projet pédagogique 
EAP 2021]])</f>
        <v>103583</v>
      </c>
      <c r="N139" s="59"/>
      <c r="O139" s="100"/>
      <c r="P139" s="100"/>
      <c r="Q139" s="101">
        <f>Tableau2[[#This Row],[AAP hybridation des formations (P.363)]]+P139</f>
        <v>0</v>
      </c>
      <c r="R139" s="102"/>
      <c r="S139" s="57">
        <v>16178437</v>
      </c>
      <c r="T139" s="57">
        <v>2032203</v>
      </c>
      <c r="U139" s="57">
        <v>0</v>
      </c>
      <c r="V139" s="57">
        <v>250000</v>
      </c>
      <c r="W139" s="58">
        <f>SUM(Tableau2[[#This Row],[Masse salariale]:[Immobilier (sécurité, accessibilité, loyers, dévolution, Epaurif)]])</f>
        <v>18460640</v>
      </c>
      <c r="X139" s="122">
        <f>Tableau2[[#This Row],[Masse salariale]]+Tableau2[[#This Row],[Actions d''accompagnement ]]</f>
        <v>16178437</v>
      </c>
    </row>
    <row r="140" spans="1:27" s="52" customFormat="1" ht="23.25" customHeight="1">
      <c r="A140" s="67"/>
      <c r="B140" s="72" t="s">
        <v>194</v>
      </c>
      <c r="C140" s="72" t="s">
        <v>193</v>
      </c>
      <c r="D140" s="72" t="s">
        <v>194</v>
      </c>
      <c r="E140" s="63">
        <v>7031</v>
      </c>
      <c r="F140" s="63">
        <v>122636</v>
      </c>
      <c r="G140" s="63">
        <v>1347211</v>
      </c>
      <c r="H140" s="63">
        <v>284007</v>
      </c>
      <c r="I140" s="63">
        <v>1238333.0000000009</v>
      </c>
      <c r="J140" s="81">
        <v>-96655</v>
      </c>
      <c r="K140" s="63">
        <v>240114</v>
      </c>
      <c r="L140" s="63">
        <v>76667</v>
      </c>
      <c r="M140" s="68">
        <f>SUM(Tableau2[[#This Row],[LPR 2021 - repyramidage (agents ITRF)]:[Congé pour projet pédagogique 
EAP 2021]])</f>
        <v>3219344.0000000009</v>
      </c>
      <c r="N140" s="59"/>
      <c r="O140" s="103"/>
      <c r="P140" s="103"/>
      <c r="Q140" s="73">
        <f>Tableau2[[#This Row],[AAP hybridation des formations (P.363)]]+P140</f>
        <v>0</v>
      </c>
      <c r="R140" s="103"/>
      <c r="S140" s="63">
        <v>313168532</v>
      </c>
      <c r="T140" s="63">
        <v>29597178</v>
      </c>
      <c r="U140" s="56">
        <v>1511959</v>
      </c>
      <c r="V140" s="56">
        <v>400000</v>
      </c>
      <c r="W140" s="78">
        <f>SUM(Tableau2[[#This Row],[Masse salariale]:[Immobilier (sécurité, accessibilité, loyers, dévolution, Epaurif)]])</f>
        <v>344677669</v>
      </c>
      <c r="X140" s="122">
        <f>Tableau2[[#This Row],[Masse salariale]]+Tableau2[[#This Row],[Actions d''accompagnement ]]</f>
        <v>314680491</v>
      </c>
      <c r="Z140" s="49"/>
      <c r="AA140" s="49"/>
    </row>
    <row r="141" spans="1:27" ht="27" customHeight="1">
      <c r="A141" s="67" t="s">
        <v>360</v>
      </c>
      <c r="B141" s="72" t="s">
        <v>69</v>
      </c>
      <c r="C141" s="72" t="s">
        <v>68</v>
      </c>
      <c r="D141" s="72" t="s">
        <v>500</v>
      </c>
      <c r="E141" s="63">
        <v>291</v>
      </c>
      <c r="F141" s="63">
        <v>4263</v>
      </c>
      <c r="G141" s="63">
        <v>64702</v>
      </c>
      <c r="H141" s="63">
        <v>0</v>
      </c>
      <c r="I141" s="63">
        <v>0</v>
      </c>
      <c r="J141" s="81">
        <v>0</v>
      </c>
      <c r="K141" s="63">
        <v>8101</v>
      </c>
      <c r="L141" s="63">
        <v>3333</v>
      </c>
      <c r="M141" s="68">
        <f>SUM(Tableau2[[#This Row],[LPR 2021 - repyramidage (agents ITRF)]:[Congé pour projet pédagogique 
EAP 2021]])</f>
        <v>80690</v>
      </c>
      <c r="N141" s="59"/>
      <c r="O141" s="100"/>
      <c r="P141" s="100"/>
      <c r="Q141" s="101">
        <f>Tableau2[[#This Row],[AAP hybridation des formations (P.363)]]+P141</f>
        <v>0</v>
      </c>
      <c r="R141" s="102"/>
      <c r="S141" s="57">
        <v>11609618</v>
      </c>
      <c r="T141" s="57">
        <v>2144298</v>
      </c>
      <c r="U141" s="57">
        <v>91469</v>
      </c>
      <c r="V141" s="57">
        <v>100000</v>
      </c>
      <c r="W141" s="58">
        <f>SUM(Tableau2[[#This Row],[Masse salariale]:[Immobilier (sécurité, accessibilité, loyers, dévolution, Epaurif)]])</f>
        <v>13945385</v>
      </c>
      <c r="X141" s="122">
        <f>Tableau2[[#This Row],[Masse salariale]]+Tableau2[[#This Row],[Actions d''accompagnement ]]</f>
        <v>11701087</v>
      </c>
    </row>
    <row r="142" spans="1:27" s="52" customFormat="1" ht="23.25" customHeight="1">
      <c r="A142" s="67" t="s">
        <v>105</v>
      </c>
      <c r="B142" s="72" t="s">
        <v>297</v>
      </c>
      <c r="C142" s="72" t="s">
        <v>296</v>
      </c>
      <c r="D142" s="72" t="s">
        <v>500</v>
      </c>
      <c r="E142" s="63"/>
      <c r="F142" s="63"/>
      <c r="G142" s="63"/>
      <c r="H142" s="63">
        <v>0</v>
      </c>
      <c r="I142" s="63">
        <v>0</v>
      </c>
      <c r="J142" s="81">
        <v>0</v>
      </c>
      <c r="K142" s="63">
        <v>0</v>
      </c>
      <c r="L142" s="63">
        <v>1111</v>
      </c>
      <c r="M142" s="68">
        <f>SUM(Tableau2[[#This Row],[LPR 2021 - repyramidage (agents ITRF)]:[Congé pour projet pédagogique 
EAP 2021]])</f>
        <v>1111</v>
      </c>
      <c r="N142" s="59"/>
      <c r="O142" s="63"/>
      <c r="P142" s="63"/>
      <c r="Q142" s="68">
        <f>Tableau2[[#This Row],[AAP hybridation des formations (P.363)]]+P142</f>
        <v>0</v>
      </c>
      <c r="R142" s="63"/>
      <c r="S142" s="63">
        <v>1353407</v>
      </c>
      <c r="T142" s="63">
        <v>418658</v>
      </c>
      <c r="U142" s="56">
        <v>45496</v>
      </c>
      <c r="V142" s="56">
        <v>0</v>
      </c>
      <c r="W142" s="78">
        <f>SUM(Tableau2[[#This Row],[Masse salariale]:[Immobilier (sécurité, accessibilité, loyers, dévolution, Epaurif)]])</f>
        <v>1817561</v>
      </c>
      <c r="X142" s="122">
        <f>Tableau2[[#This Row],[Masse salariale]]+Tableau2[[#This Row],[Actions d''accompagnement ]]</f>
        <v>1398903</v>
      </c>
      <c r="Z142" s="49"/>
      <c r="AA142" s="49"/>
    </row>
    <row r="143" spans="1:27" ht="27" customHeight="1">
      <c r="A143" s="67" t="s">
        <v>276</v>
      </c>
      <c r="B143" s="72" t="s">
        <v>104</v>
      </c>
      <c r="C143" s="72" t="s">
        <v>103</v>
      </c>
      <c r="D143" s="72" t="s">
        <v>500</v>
      </c>
      <c r="E143" s="63">
        <v>1615</v>
      </c>
      <c r="F143" s="63">
        <v>23730</v>
      </c>
      <c r="G143" s="63">
        <v>264438</v>
      </c>
      <c r="H143" s="63">
        <v>0</v>
      </c>
      <c r="I143" s="63">
        <v>0</v>
      </c>
      <c r="J143" s="81">
        <v>18073</v>
      </c>
      <c r="K143" s="63">
        <v>43265</v>
      </c>
      <c r="L143" s="63">
        <v>13333</v>
      </c>
      <c r="M143" s="68">
        <f>SUM(Tableau2[[#This Row],[LPR 2021 - repyramidage (agents ITRF)]:[Congé pour projet pédagogique 
EAP 2021]])</f>
        <v>364454</v>
      </c>
      <c r="N143" s="59"/>
      <c r="O143" s="87"/>
      <c r="P143" s="87"/>
      <c r="Q143" s="89">
        <f>Tableau2[[#This Row],[AAP hybridation des formations (P.363)]]+P143</f>
        <v>0</v>
      </c>
      <c r="R143" s="91"/>
      <c r="S143" s="57">
        <v>51127961</v>
      </c>
      <c r="T143" s="57">
        <v>6434942</v>
      </c>
      <c r="U143" s="57">
        <v>590096</v>
      </c>
      <c r="V143" s="57">
        <v>100000</v>
      </c>
      <c r="W143" s="89">
        <f>SUM(Tableau2[[#This Row],[Masse salariale]:[Immobilier (sécurité, accessibilité, loyers, dévolution, Epaurif)]])</f>
        <v>58252999</v>
      </c>
      <c r="X143" s="122">
        <f>Tableau2[[#This Row],[Masse salariale]]+Tableau2[[#This Row],[Actions d''accompagnement ]]</f>
        <v>51718057</v>
      </c>
    </row>
    <row r="144" spans="1:27" s="52" customFormat="1" ht="23.25" customHeight="1">
      <c r="A144" s="67" t="s">
        <v>282</v>
      </c>
      <c r="B144" s="72" t="s">
        <v>115</v>
      </c>
      <c r="C144" s="72" t="s">
        <v>114</v>
      </c>
      <c r="D144" s="72" t="s">
        <v>500</v>
      </c>
      <c r="E144" s="63">
        <v>1289</v>
      </c>
      <c r="F144" s="63">
        <v>15972</v>
      </c>
      <c r="G144" s="63">
        <v>172049</v>
      </c>
      <c r="H144" s="63">
        <v>40000</v>
      </c>
      <c r="I144" s="63">
        <v>0</v>
      </c>
      <c r="J144" s="81">
        <v>0</v>
      </c>
      <c r="K144" s="63">
        <v>25486</v>
      </c>
      <c r="L144" s="63">
        <v>10000</v>
      </c>
      <c r="M144" s="68">
        <f>SUM(Tableau2[[#This Row],[LPR 2021 - repyramidage (agents ITRF)]:[Congé pour projet pédagogique 
EAP 2021]])</f>
        <v>264796</v>
      </c>
      <c r="N144" s="59"/>
      <c r="O144" s="63"/>
      <c r="P144" s="63"/>
      <c r="Q144" s="68">
        <f>Tableau2[[#This Row],[AAP hybridation des formations (P.363)]]+P144</f>
        <v>0</v>
      </c>
      <c r="R144" s="63"/>
      <c r="S144" s="63">
        <v>36425602</v>
      </c>
      <c r="T144" s="63">
        <v>4078762</v>
      </c>
      <c r="U144" s="56">
        <v>17061</v>
      </c>
      <c r="V144" s="56">
        <v>200000</v>
      </c>
      <c r="W144" s="78">
        <f>SUM(Tableau2[[#This Row],[Masse salariale]:[Immobilier (sécurité, accessibilité, loyers, dévolution, Epaurif)]])</f>
        <v>40721425</v>
      </c>
      <c r="X144" s="122">
        <f>Tableau2[[#This Row],[Masse salariale]]+Tableau2[[#This Row],[Actions d''accompagnement ]]</f>
        <v>36442663</v>
      </c>
      <c r="Z144" s="49"/>
      <c r="AA144" s="49"/>
    </row>
    <row r="145" spans="1:27" ht="27" customHeight="1">
      <c r="A145" s="67" t="s">
        <v>29</v>
      </c>
      <c r="B145" s="72" t="s">
        <v>522</v>
      </c>
      <c r="C145" s="72" t="s">
        <v>294</v>
      </c>
      <c r="D145" s="72" t="s">
        <v>500</v>
      </c>
      <c r="E145" s="63"/>
      <c r="F145" s="63"/>
      <c r="G145" s="63"/>
      <c r="H145" s="63">
        <v>162000</v>
      </c>
      <c r="I145" s="63">
        <v>112000</v>
      </c>
      <c r="J145" s="81">
        <v>0</v>
      </c>
      <c r="K145" s="63">
        <v>0</v>
      </c>
      <c r="L145" s="63">
        <v>3333</v>
      </c>
      <c r="M145" s="68">
        <f>SUM(Tableau2[[#This Row],[LPR 2021 - repyramidage (agents ITRF)]:[Congé pour projet pédagogique 
EAP 2021]])</f>
        <v>277333</v>
      </c>
      <c r="N145" s="59"/>
      <c r="O145" s="100"/>
      <c r="P145" s="100"/>
      <c r="Q145" s="101">
        <f>Tableau2[[#This Row],[AAP hybridation des formations (P.363)]]+P145</f>
        <v>0</v>
      </c>
      <c r="R145" s="102"/>
      <c r="S145" s="57">
        <v>3962314</v>
      </c>
      <c r="T145" s="57">
        <v>1689697</v>
      </c>
      <c r="U145" s="57">
        <v>22748</v>
      </c>
      <c r="V145" s="57">
        <v>40000</v>
      </c>
      <c r="W145" s="58">
        <f>SUM(Tableau2[[#This Row],[Masse salariale]:[Immobilier (sécurité, accessibilité, loyers, dévolution, Epaurif)]])</f>
        <v>5714759</v>
      </c>
      <c r="X145" s="122">
        <f>Tableau2[[#This Row],[Masse salariale]]+Tableau2[[#This Row],[Actions d''accompagnement ]]</f>
        <v>3985062</v>
      </c>
    </row>
    <row r="146" spans="1:27" s="52" customFormat="1" ht="23.25" customHeight="1">
      <c r="A146" s="67"/>
      <c r="B146" s="72" t="s">
        <v>199</v>
      </c>
      <c r="C146" s="72" t="s">
        <v>198</v>
      </c>
      <c r="D146" s="72" t="s">
        <v>500</v>
      </c>
      <c r="E146" s="63">
        <v>1404</v>
      </c>
      <c r="F146" s="63">
        <v>28803</v>
      </c>
      <c r="G146" s="63">
        <v>297952</v>
      </c>
      <c r="H146" s="63">
        <v>112800</v>
      </c>
      <c r="I146" s="63">
        <v>0</v>
      </c>
      <c r="J146" s="81">
        <v>81784</v>
      </c>
      <c r="K146" s="63">
        <v>53154</v>
      </c>
      <c r="L146" s="63">
        <v>16667</v>
      </c>
      <c r="M146" s="68">
        <f>SUM(Tableau2[[#This Row],[LPR 2021 - repyramidage (agents ITRF)]:[Congé pour projet pédagogique 
EAP 2021]])</f>
        <v>592564</v>
      </c>
      <c r="N146" s="59"/>
      <c r="O146" s="63"/>
      <c r="P146" s="63"/>
      <c r="Q146" s="68">
        <f>Tableau2[[#This Row],[AAP hybridation des formations (P.363)]]+P146</f>
        <v>0</v>
      </c>
      <c r="R146" s="63"/>
      <c r="S146" s="63">
        <v>75581924</v>
      </c>
      <c r="T146" s="63">
        <v>5071287</v>
      </c>
      <c r="U146" s="56">
        <v>144488</v>
      </c>
      <c r="V146" s="56">
        <v>5000000</v>
      </c>
      <c r="W146" s="78">
        <f>SUM(Tableau2[[#This Row],[Masse salariale]:[Immobilier (sécurité, accessibilité, loyers, dévolution, Epaurif)]])</f>
        <v>85797699</v>
      </c>
      <c r="X146" s="122">
        <f>Tableau2[[#This Row],[Masse salariale]]+Tableau2[[#This Row],[Actions d''accompagnement ]]</f>
        <v>75726412</v>
      </c>
      <c r="Z146" s="49"/>
      <c r="AA146" s="49"/>
    </row>
    <row r="147" spans="1:27" ht="27" customHeight="1">
      <c r="A147" s="67"/>
      <c r="B147" s="72" t="s">
        <v>201</v>
      </c>
      <c r="C147" s="72" t="s">
        <v>200</v>
      </c>
      <c r="D147" s="72" t="s">
        <v>500</v>
      </c>
      <c r="E147" s="63">
        <v>2735</v>
      </c>
      <c r="F147" s="63">
        <v>49129</v>
      </c>
      <c r="G147" s="63">
        <v>774512</v>
      </c>
      <c r="H147" s="63">
        <v>158234</v>
      </c>
      <c r="I147" s="63">
        <v>0</v>
      </c>
      <c r="J147" s="81">
        <v>0</v>
      </c>
      <c r="K147" s="63">
        <v>139048</v>
      </c>
      <c r="L147" s="63">
        <v>40000</v>
      </c>
      <c r="M147" s="68">
        <f>SUM(Tableau2[[#This Row],[LPR 2021 - repyramidage (agents ITRF)]:[Congé pour projet pédagogique 
EAP 2021]])</f>
        <v>1163658</v>
      </c>
      <c r="N147" s="59"/>
      <c r="O147" s="100"/>
      <c r="P147" s="100"/>
      <c r="Q147" s="101">
        <f>Tableau2[[#This Row],[AAP hybridation des formations (P.363)]]+P147</f>
        <v>0</v>
      </c>
      <c r="R147" s="102"/>
      <c r="S147" s="57">
        <v>144212820</v>
      </c>
      <c r="T147" s="57">
        <v>10459623</v>
      </c>
      <c r="U147" s="57">
        <v>214627</v>
      </c>
      <c r="V147" s="57">
        <v>140000</v>
      </c>
      <c r="W147" s="58">
        <f>SUM(Tableau2[[#This Row],[Masse salariale]:[Immobilier (sécurité, accessibilité, loyers, dévolution, Epaurif)]])</f>
        <v>155027070</v>
      </c>
      <c r="X147" s="122">
        <f>Tableau2[[#This Row],[Masse salariale]]+Tableau2[[#This Row],[Actions d''accompagnement ]]</f>
        <v>144427447</v>
      </c>
    </row>
    <row r="148" spans="1:27" s="52" customFormat="1" ht="23.25" customHeight="1">
      <c r="A148" s="67"/>
      <c r="B148" s="72" t="s">
        <v>203</v>
      </c>
      <c r="C148" s="72" t="s">
        <v>202</v>
      </c>
      <c r="D148" s="72" t="s">
        <v>500</v>
      </c>
      <c r="E148" s="63">
        <v>5238</v>
      </c>
      <c r="F148" s="63">
        <v>103402</v>
      </c>
      <c r="G148" s="63">
        <v>1245849</v>
      </c>
      <c r="H148" s="63">
        <v>630000</v>
      </c>
      <c r="I148" s="63">
        <v>306600</v>
      </c>
      <c r="J148" s="81">
        <v>50946</v>
      </c>
      <c r="K148" s="63">
        <v>232475</v>
      </c>
      <c r="L148" s="63">
        <v>76667</v>
      </c>
      <c r="M148" s="68">
        <f>SUM(Tableau2[[#This Row],[LPR 2021 - repyramidage (agents ITRF)]:[Congé pour projet pédagogique 
EAP 2021]])</f>
        <v>2651177</v>
      </c>
      <c r="N148" s="59"/>
      <c r="O148" s="63"/>
      <c r="P148" s="63"/>
      <c r="Q148" s="68">
        <f>Tableau2[[#This Row],[AAP hybridation des formations (P.363)]]+P148</f>
        <v>0</v>
      </c>
      <c r="R148" s="63"/>
      <c r="S148" s="63">
        <v>270402910</v>
      </c>
      <c r="T148" s="63">
        <v>26482157</v>
      </c>
      <c r="U148" s="56">
        <v>436725</v>
      </c>
      <c r="V148" s="56">
        <v>440000</v>
      </c>
      <c r="W148" s="78">
        <f>SUM(Tableau2[[#This Row],[Masse salariale]:[Immobilier (sécurité, accessibilité, loyers, dévolution, Epaurif)]])</f>
        <v>297761792</v>
      </c>
      <c r="X148" s="122">
        <f>Tableau2[[#This Row],[Masse salariale]]+Tableau2[[#This Row],[Actions d''accompagnement ]]</f>
        <v>270839635</v>
      </c>
      <c r="Z148" s="49"/>
      <c r="AA148" s="49"/>
    </row>
    <row r="149" spans="1:27" ht="27" customHeight="1">
      <c r="A149" s="67" t="s">
        <v>218</v>
      </c>
      <c r="B149" s="72" t="s">
        <v>313</v>
      </c>
      <c r="C149" s="72" t="s">
        <v>312</v>
      </c>
      <c r="D149" s="72" t="s">
        <v>486</v>
      </c>
      <c r="E149" s="63"/>
      <c r="F149" s="63"/>
      <c r="G149" s="63"/>
      <c r="H149" s="63"/>
      <c r="I149" s="63"/>
      <c r="J149" s="81">
        <v>0</v>
      </c>
      <c r="K149" s="63"/>
      <c r="L149" s="63"/>
      <c r="M149" s="68">
        <f>SUM(Tableau2[[#This Row],[LPR 2021 - repyramidage (agents ITRF)]:[Congé pour projet pédagogique 
EAP 2021]])</f>
        <v>0</v>
      </c>
      <c r="N149" s="59"/>
      <c r="O149" s="100"/>
      <c r="P149" s="100"/>
      <c r="Q149" s="101">
        <f>Tableau2[[#This Row],[AAP hybridation des formations (P.363)]]+P149</f>
        <v>0</v>
      </c>
      <c r="R149" s="102"/>
      <c r="S149" s="57">
        <v>422547</v>
      </c>
      <c r="T149" s="57">
        <v>19437265</v>
      </c>
      <c r="U149" s="57">
        <v>750896</v>
      </c>
      <c r="V149" s="57">
        <v>0</v>
      </c>
      <c r="W149" s="58">
        <f>SUM(Tableau2[[#This Row],[Masse salariale]:[Immobilier (sécurité, accessibilité, loyers, dévolution, Epaurif)]])</f>
        <v>20610708</v>
      </c>
      <c r="X149" s="122">
        <f>Tableau2[[#This Row],[Masse salariale]]+Tableau2[[#This Row],[Actions d''accompagnement ]]</f>
        <v>1173443</v>
      </c>
    </row>
    <row r="150" spans="1:27" s="52" customFormat="1" ht="23.25" customHeight="1">
      <c r="A150" s="67" t="s">
        <v>0</v>
      </c>
      <c r="B150" s="72" t="s">
        <v>367</v>
      </c>
      <c r="C150" s="72" t="s">
        <v>366</v>
      </c>
      <c r="D150" s="72" t="s">
        <v>486</v>
      </c>
      <c r="E150" s="63"/>
      <c r="F150" s="63"/>
      <c r="G150" s="63"/>
      <c r="H150" s="63">
        <v>0</v>
      </c>
      <c r="I150" s="63">
        <v>0</v>
      </c>
      <c r="J150" s="81">
        <v>0</v>
      </c>
      <c r="K150" s="63">
        <v>0</v>
      </c>
      <c r="L150" s="63">
        <v>1111</v>
      </c>
      <c r="M150" s="68">
        <f>SUM(Tableau2[[#This Row],[LPR 2021 - repyramidage (agents ITRF)]:[Congé pour projet pédagogique 
EAP 2021]])</f>
        <v>1111</v>
      </c>
      <c r="N150" s="59"/>
      <c r="O150" s="88"/>
      <c r="P150" s="88"/>
      <c r="Q150" s="90">
        <f>Tableau2[[#This Row],[AAP hybridation des formations (P.363)]]+P150</f>
        <v>0</v>
      </c>
      <c r="R150" s="88"/>
      <c r="S150" s="63">
        <v>1667</v>
      </c>
      <c r="T150" s="63">
        <v>0</v>
      </c>
      <c r="U150" s="56">
        <v>20764</v>
      </c>
      <c r="V150" s="56">
        <v>0</v>
      </c>
      <c r="W150" s="78">
        <f>SUM(Tableau2[[#This Row],[Masse salariale]:[Immobilier (sécurité, accessibilité, loyers, dévolution, Epaurif)]])</f>
        <v>22431</v>
      </c>
      <c r="X150" s="122">
        <f>Tableau2[[#This Row],[Masse salariale]]+Tableau2[[#This Row],[Actions d''accompagnement ]]</f>
        <v>22431</v>
      </c>
      <c r="Z150" s="49"/>
      <c r="AA150" s="49"/>
    </row>
    <row r="151" spans="1:27" ht="27" customHeight="1">
      <c r="A151" s="67" t="s">
        <v>236</v>
      </c>
      <c r="B151" s="72" t="s">
        <v>317</v>
      </c>
      <c r="C151" s="72" t="s">
        <v>316</v>
      </c>
      <c r="D151" s="72" t="s">
        <v>486</v>
      </c>
      <c r="E151" s="63"/>
      <c r="F151" s="63"/>
      <c r="G151" s="63"/>
      <c r="H151" s="63"/>
      <c r="I151" s="63"/>
      <c r="J151" s="81">
        <v>0</v>
      </c>
      <c r="K151" s="63"/>
      <c r="L151" s="63"/>
      <c r="M151" s="68">
        <f>SUM(Tableau2[[#This Row],[LPR 2021 - repyramidage (agents ITRF)]:[Congé pour projet pédagogique 
EAP 2021]])</f>
        <v>0</v>
      </c>
      <c r="N151" s="59"/>
      <c r="O151" s="100"/>
      <c r="P151" s="100"/>
      <c r="Q151" s="101">
        <f>Tableau2[[#This Row],[AAP hybridation des formations (P.363)]]+P151</f>
        <v>0</v>
      </c>
      <c r="R151" s="102"/>
      <c r="S151" s="57">
        <v>186484</v>
      </c>
      <c r="T151" s="57">
        <v>36608</v>
      </c>
      <c r="U151" s="57">
        <v>0</v>
      </c>
      <c r="V151" s="57">
        <v>0</v>
      </c>
      <c r="W151" s="58">
        <f>SUM(Tableau2[[#This Row],[Masse salariale]:[Immobilier (sécurité, accessibilité, loyers, dévolution, Epaurif)]])</f>
        <v>223092</v>
      </c>
      <c r="X151" s="122">
        <f>Tableau2[[#This Row],[Masse salariale]]+Tableau2[[#This Row],[Actions d''accompagnement ]]</f>
        <v>186484</v>
      </c>
    </row>
    <row r="152" spans="1:27" s="52" customFormat="1" ht="23.25" customHeight="1">
      <c r="A152" s="67" t="s">
        <v>228</v>
      </c>
      <c r="B152" s="72" t="s">
        <v>542</v>
      </c>
      <c r="C152" s="72" t="s">
        <v>478</v>
      </c>
      <c r="D152" s="72" t="s">
        <v>486</v>
      </c>
      <c r="E152" s="63"/>
      <c r="F152" s="63"/>
      <c r="G152" s="63"/>
      <c r="H152" s="63"/>
      <c r="I152" s="63"/>
      <c r="J152" s="81">
        <v>0</v>
      </c>
      <c r="K152" s="63"/>
      <c r="L152" s="63"/>
      <c r="M152" s="68">
        <f>SUM(Tableau2[[#This Row],[LPR 2021 - repyramidage (agents ITRF)]:[Congé pour projet pédagogique 
EAP 2021]])</f>
        <v>0</v>
      </c>
      <c r="N152" s="59"/>
      <c r="O152" s="88"/>
      <c r="P152" s="88"/>
      <c r="Q152" s="90">
        <f>Tableau2[[#This Row],[AAP hybridation des formations (P.363)]]+P152</f>
        <v>0</v>
      </c>
      <c r="R152" s="88"/>
      <c r="S152" s="63">
        <v>289606</v>
      </c>
      <c r="T152" s="63">
        <v>1480849</v>
      </c>
      <c r="U152" s="56">
        <v>0</v>
      </c>
      <c r="V152" s="56">
        <v>0</v>
      </c>
      <c r="W152" s="78">
        <f>SUM(Tableau2[[#This Row],[Masse salariale]:[Immobilier (sécurité, accessibilité, loyers, dévolution, Epaurif)]])</f>
        <v>1770455</v>
      </c>
      <c r="X152" s="122">
        <f>Tableau2[[#This Row],[Masse salariale]]+Tableau2[[#This Row],[Actions d''accompagnement ]]</f>
        <v>289606</v>
      </c>
      <c r="Z152" s="49"/>
      <c r="AA152" s="49"/>
    </row>
    <row r="153" spans="1:27" ht="27" customHeight="1">
      <c r="A153" s="67" t="s">
        <v>191</v>
      </c>
      <c r="B153" s="72" t="s">
        <v>34</v>
      </c>
      <c r="C153" s="72" t="s">
        <v>33</v>
      </c>
      <c r="D153" s="72" t="s">
        <v>486</v>
      </c>
      <c r="E153" s="63">
        <v>537</v>
      </c>
      <c r="F153" s="63">
        <v>9992</v>
      </c>
      <c r="G153" s="63">
        <v>63594</v>
      </c>
      <c r="H153" s="63">
        <v>0</v>
      </c>
      <c r="I153" s="63">
        <v>0</v>
      </c>
      <c r="J153" s="81">
        <v>60292</v>
      </c>
      <c r="K153" s="63">
        <v>15847</v>
      </c>
      <c r="L153" s="63">
        <v>3333</v>
      </c>
      <c r="M153" s="68">
        <f>SUM(Tableau2[[#This Row],[LPR 2021 - repyramidage (agents ITRF)]:[Congé pour projet pédagogique 
EAP 2021]])</f>
        <v>153595</v>
      </c>
      <c r="N153" s="59"/>
      <c r="O153" s="100"/>
      <c r="P153" s="100"/>
      <c r="Q153" s="101">
        <f>Tableau2[[#This Row],[AAP hybridation des formations (P.363)]]+P153</f>
        <v>0</v>
      </c>
      <c r="R153" s="102"/>
      <c r="S153" s="57">
        <v>36520323</v>
      </c>
      <c r="T153" s="57">
        <v>3540868</v>
      </c>
      <c r="U153" s="57">
        <v>37122</v>
      </c>
      <c r="V153" s="57">
        <v>100000</v>
      </c>
      <c r="W153" s="58">
        <f>SUM(Tableau2[[#This Row],[Masse salariale]:[Immobilier (sécurité, accessibilité, loyers, dévolution, Epaurif)]])</f>
        <v>40198313</v>
      </c>
      <c r="X153" s="122">
        <f>Tableau2[[#This Row],[Masse salariale]]+Tableau2[[#This Row],[Actions d''accompagnement ]]</f>
        <v>36557445</v>
      </c>
    </row>
    <row r="154" spans="1:27" s="52" customFormat="1" ht="23.25" customHeight="1">
      <c r="A154" s="67" t="s">
        <v>230</v>
      </c>
      <c r="B154" s="72" t="s">
        <v>315</v>
      </c>
      <c r="C154" s="72" t="s">
        <v>314</v>
      </c>
      <c r="D154" s="72" t="s">
        <v>486</v>
      </c>
      <c r="E154" s="63"/>
      <c r="F154" s="63"/>
      <c r="G154" s="63"/>
      <c r="H154" s="63"/>
      <c r="I154" s="63"/>
      <c r="J154" s="81">
        <v>0</v>
      </c>
      <c r="K154" s="63"/>
      <c r="L154" s="63"/>
      <c r="M154" s="68">
        <f>SUM(Tableau2[[#This Row],[LPR 2021 - repyramidage (agents ITRF)]:[Congé pour projet pédagogique 
EAP 2021]])</f>
        <v>0</v>
      </c>
      <c r="N154" s="59"/>
      <c r="O154" s="63"/>
      <c r="P154" s="63"/>
      <c r="Q154" s="68">
        <f>Tableau2[[#This Row],[AAP hybridation des formations (P.363)]]+P154</f>
        <v>0</v>
      </c>
      <c r="R154" s="63"/>
      <c r="S154" s="63">
        <v>125000</v>
      </c>
      <c r="T154" s="63">
        <v>4675107</v>
      </c>
      <c r="U154" s="56">
        <v>0</v>
      </c>
      <c r="V154" s="56">
        <v>0</v>
      </c>
      <c r="W154" s="78">
        <f>SUM(Tableau2[[#This Row],[Masse salariale]:[Immobilier (sécurité, accessibilité, loyers, dévolution, Epaurif)]])</f>
        <v>4800107</v>
      </c>
      <c r="X154" s="122">
        <f>Tableau2[[#This Row],[Masse salariale]]+Tableau2[[#This Row],[Actions d''accompagnement ]]</f>
        <v>125000</v>
      </c>
      <c r="Z154" s="49"/>
      <c r="AA154" s="49"/>
    </row>
    <row r="155" spans="1:27" ht="27" customHeight="1">
      <c r="A155" s="67" t="s">
        <v>135</v>
      </c>
      <c r="B155" s="72" t="s">
        <v>45</v>
      </c>
      <c r="C155" s="72" t="s">
        <v>44</v>
      </c>
      <c r="D155" s="72" t="s">
        <v>486</v>
      </c>
      <c r="E155" s="63">
        <v>3347</v>
      </c>
      <c r="F155" s="63">
        <v>56782</v>
      </c>
      <c r="G155" s="63">
        <v>367733</v>
      </c>
      <c r="H155" s="63">
        <v>0</v>
      </c>
      <c r="I155" s="63">
        <v>0</v>
      </c>
      <c r="J155" s="81">
        <v>344216</v>
      </c>
      <c r="K155" s="63">
        <v>87288</v>
      </c>
      <c r="L155" s="63">
        <v>16667</v>
      </c>
      <c r="M155" s="68">
        <f>SUM(Tableau2[[#This Row],[LPR 2021 - repyramidage (agents ITRF)]:[Congé pour projet pédagogique 
EAP 2021]])</f>
        <v>876033</v>
      </c>
      <c r="N155" s="59"/>
      <c r="O155" s="87"/>
      <c r="P155" s="87"/>
      <c r="Q155" s="89">
        <f>Tableau2[[#This Row],[AAP hybridation des formations (P.363)]]+P155</f>
        <v>0</v>
      </c>
      <c r="R155" s="91"/>
      <c r="S155" s="57">
        <v>93660754</v>
      </c>
      <c r="T155" s="57">
        <v>17852423</v>
      </c>
      <c r="U155" s="57">
        <v>237225</v>
      </c>
      <c r="V155" s="57">
        <v>150000</v>
      </c>
      <c r="W155" s="89">
        <f>SUM(Tableau2[[#This Row],[Masse salariale]:[Immobilier (sécurité, accessibilité, loyers, dévolution, Epaurif)]])</f>
        <v>111900402</v>
      </c>
      <c r="X155" s="122">
        <f>Tableau2[[#This Row],[Masse salariale]]+Tableau2[[#This Row],[Actions d''accompagnement ]]</f>
        <v>93897979</v>
      </c>
    </row>
    <row r="156" spans="1:27" s="52" customFormat="1" ht="23.25" customHeight="1">
      <c r="A156" s="67" t="s">
        <v>26</v>
      </c>
      <c r="B156" s="72" t="s">
        <v>539</v>
      </c>
      <c r="C156" s="72" t="s">
        <v>540</v>
      </c>
      <c r="D156" s="72" t="s">
        <v>486</v>
      </c>
      <c r="E156" s="63"/>
      <c r="F156" s="63"/>
      <c r="G156" s="63"/>
      <c r="H156" s="63"/>
      <c r="I156" s="63"/>
      <c r="J156" s="81">
        <v>0</v>
      </c>
      <c r="K156" s="63"/>
      <c r="L156" s="63"/>
      <c r="M156" s="68">
        <f>SUM(Tableau2[[#This Row],[LPR 2021 - repyramidage (agents ITRF)]:[Congé pour projet pédagogique 
EAP 2021]])</f>
        <v>0</v>
      </c>
      <c r="N156" s="59"/>
      <c r="O156" s="88"/>
      <c r="P156" s="88"/>
      <c r="Q156" s="90">
        <f>Tableau2[[#This Row],[AAP hybridation des formations (P.363)]]+P156</f>
        <v>0</v>
      </c>
      <c r="R156" s="88"/>
      <c r="S156" s="63">
        <v>0</v>
      </c>
      <c r="T156" s="63">
        <v>0</v>
      </c>
      <c r="U156" s="56">
        <v>1086996</v>
      </c>
      <c r="V156" s="56">
        <v>0</v>
      </c>
      <c r="W156" s="78">
        <f>SUM(Tableau2[[#This Row],[Masse salariale]:[Immobilier (sécurité, accessibilité, loyers, dévolution, Epaurif)]])</f>
        <v>1086996</v>
      </c>
      <c r="X156" s="122">
        <f>Tableau2[[#This Row],[Masse salariale]]+Tableau2[[#This Row],[Actions d''accompagnement ]]</f>
        <v>1086996</v>
      </c>
      <c r="Z156" s="49"/>
      <c r="AA156" s="49"/>
    </row>
    <row r="157" spans="1:27" ht="27" customHeight="1">
      <c r="A157" s="67" t="s">
        <v>232</v>
      </c>
      <c r="B157" s="72" t="s">
        <v>47</v>
      </c>
      <c r="C157" s="72" t="s">
        <v>46</v>
      </c>
      <c r="D157" s="72" t="s">
        <v>486</v>
      </c>
      <c r="E157" s="63">
        <v>934</v>
      </c>
      <c r="F157" s="63">
        <v>16459</v>
      </c>
      <c r="G157" s="63">
        <v>32437</v>
      </c>
      <c r="H157" s="63">
        <v>0</v>
      </c>
      <c r="I157" s="63">
        <v>0</v>
      </c>
      <c r="J157" s="81">
        <v>170</v>
      </c>
      <c r="K157" s="63">
        <v>17751</v>
      </c>
      <c r="L157" s="63">
        <v>3333</v>
      </c>
      <c r="M157" s="68">
        <f>SUM(Tableau2[[#This Row],[LPR 2021 - repyramidage (agents ITRF)]:[Congé pour projet pédagogique 
EAP 2021]])</f>
        <v>71084</v>
      </c>
      <c r="N157" s="59"/>
      <c r="O157" s="87"/>
      <c r="P157" s="87"/>
      <c r="Q157" s="89">
        <f>Tableau2[[#This Row],[AAP hybridation des formations (P.363)]]+P157</f>
        <v>0</v>
      </c>
      <c r="R157" s="91"/>
      <c r="S157" s="57">
        <v>26069966</v>
      </c>
      <c r="T157" s="57">
        <v>7098501</v>
      </c>
      <c r="U157" s="57">
        <v>0</v>
      </c>
      <c r="V157" s="57">
        <v>0</v>
      </c>
      <c r="W157" s="89">
        <f>SUM(Tableau2[[#This Row],[Masse salariale]:[Immobilier (sécurité, accessibilité, loyers, dévolution, Epaurif)]])</f>
        <v>33168467</v>
      </c>
      <c r="X157" s="122">
        <f>Tableau2[[#This Row],[Masse salariale]]+Tableau2[[#This Row],[Actions d''accompagnement ]]</f>
        <v>26069966</v>
      </c>
    </row>
    <row r="158" spans="1:27" s="52" customFormat="1" ht="23.25" customHeight="1">
      <c r="A158" s="67" t="s">
        <v>472</v>
      </c>
      <c r="B158" s="72" t="s">
        <v>301</v>
      </c>
      <c r="C158" s="72" t="s">
        <v>300</v>
      </c>
      <c r="D158" s="72" t="s">
        <v>486</v>
      </c>
      <c r="E158" s="63">
        <v>0</v>
      </c>
      <c r="F158" s="63">
        <v>0</v>
      </c>
      <c r="G158" s="63">
        <v>2181</v>
      </c>
      <c r="H158" s="63">
        <v>0</v>
      </c>
      <c r="I158" s="63">
        <v>0</v>
      </c>
      <c r="J158" s="81">
        <v>0</v>
      </c>
      <c r="K158" s="63">
        <v>2896</v>
      </c>
      <c r="L158" s="63"/>
      <c r="M158" s="68">
        <f>SUM(Tableau2[[#This Row],[LPR 2021 - repyramidage (agents ITRF)]:[Congé pour projet pédagogique 
EAP 2021]])</f>
        <v>5077</v>
      </c>
      <c r="N158" s="59"/>
      <c r="O158" s="88"/>
      <c r="P158" s="88"/>
      <c r="Q158" s="90">
        <f>Tableau2[[#This Row],[AAP hybridation des formations (P.363)]]+P158</f>
        <v>0</v>
      </c>
      <c r="R158" s="88"/>
      <c r="S158" s="63">
        <v>5307468</v>
      </c>
      <c r="T158" s="63">
        <v>1156522</v>
      </c>
      <c r="U158" s="56">
        <v>0</v>
      </c>
      <c r="V158" s="56">
        <v>50000</v>
      </c>
      <c r="W158" s="78">
        <f>SUM(Tableau2[[#This Row],[Masse salariale]:[Immobilier (sécurité, accessibilité, loyers, dévolution, Epaurif)]])</f>
        <v>6513990</v>
      </c>
      <c r="X158" s="122">
        <f>Tableau2[[#This Row],[Masse salariale]]+Tableau2[[#This Row],[Actions d''accompagnement ]]</f>
        <v>5307468</v>
      </c>
      <c r="Z158" s="49"/>
      <c r="AA158" s="49"/>
    </row>
    <row r="159" spans="1:27" ht="27" customHeight="1">
      <c r="A159" s="67" t="s">
        <v>349</v>
      </c>
      <c r="B159" s="72" t="s">
        <v>303</v>
      </c>
      <c r="C159" s="72" t="s">
        <v>302</v>
      </c>
      <c r="D159" s="72" t="s">
        <v>486</v>
      </c>
      <c r="E159" s="63">
        <v>0</v>
      </c>
      <c r="F159" s="63">
        <v>0</v>
      </c>
      <c r="G159" s="63">
        <v>2502</v>
      </c>
      <c r="H159" s="63">
        <v>0</v>
      </c>
      <c r="I159" s="63">
        <v>0</v>
      </c>
      <c r="J159" s="81">
        <v>0</v>
      </c>
      <c r="K159" s="63">
        <v>1488</v>
      </c>
      <c r="L159" s="63"/>
      <c r="M159" s="68">
        <f>SUM(Tableau2[[#This Row],[LPR 2021 - repyramidage (agents ITRF)]:[Congé pour projet pédagogique 
EAP 2021]])</f>
        <v>3990</v>
      </c>
      <c r="N159" s="59"/>
      <c r="O159" s="87"/>
      <c r="P159" s="87"/>
      <c r="Q159" s="89">
        <f>Tableau2[[#This Row],[AAP hybridation des formations (P.363)]]+P159</f>
        <v>0</v>
      </c>
      <c r="R159" s="91"/>
      <c r="S159" s="57">
        <v>3957301</v>
      </c>
      <c r="T159" s="57">
        <v>1358160</v>
      </c>
      <c r="U159" s="57">
        <v>0</v>
      </c>
      <c r="V159" s="57">
        <v>0</v>
      </c>
      <c r="W159" s="89">
        <f>SUM(Tableau2[[#This Row],[Masse salariale]:[Immobilier (sécurité, accessibilité, loyers, dévolution, Epaurif)]])</f>
        <v>5315461</v>
      </c>
      <c r="X159" s="122">
        <f>Tableau2[[#This Row],[Masse salariale]]+Tableau2[[#This Row],[Actions d''accompagnement ]]</f>
        <v>3957301</v>
      </c>
    </row>
    <row r="160" spans="1:27" s="52" customFormat="1" ht="23.25" customHeight="1">
      <c r="A160" s="67" t="s">
        <v>464</v>
      </c>
      <c r="B160" s="72" t="s">
        <v>305</v>
      </c>
      <c r="C160" s="72" t="s">
        <v>304</v>
      </c>
      <c r="D160" s="72" t="s">
        <v>486</v>
      </c>
      <c r="E160" s="63"/>
      <c r="F160" s="63"/>
      <c r="G160" s="63"/>
      <c r="H160" s="63">
        <v>0</v>
      </c>
      <c r="I160" s="63">
        <v>0</v>
      </c>
      <c r="J160" s="81">
        <v>0</v>
      </c>
      <c r="K160" s="63">
        <v>2062</v>
      </c>
      <c r="L160" s="63"/>
      <c r="M160" s="68">
        <f>SUM(Tableau2[[#This Row],[LPR 2021 - repyramidage (agents ITRF)]:[Congé pour projet pédagogique 
EAP 2021]])</f>
        <v>2062</v>
      </c>
      <c r="N160" s="59"/>
      <c r="O160" s="88"/>
      <c r="P160" s="88"/>
      <c r="Q160" s="90">
        <f>Tableau2[[#This Row],[AAP hybridation des formations (P.363)]]+P160</f>
        <v>0</v>
      </c>
      <c r="R160" s="88"/>
      <c r="S160" s="63">
        <v>4860895</v>
      </c>
      <c r="T160" s="63">
        <v>1441880</v>
      </c>
      <c r="U160" s="56">
        <v>0</v>
      </c>
      <c r="V160" s="56">
        <v>0</v>
      </c>
      <c r="W160" s="78">
        <f>SUM(Tableau2[[#This Row],[Masse salariale]:[Immobilier (sécurité, accessibilité, loyers, dévolution, Epaurif)]])</f>
        <v>6302775</v>
      </c>
      <c r="X160" s="122">
        <f>Tableau2[[#This Row],[Masse salariale]]+Tableau2[[#This Row],[Actions d''accompagnement ]]</f>
        <v>4860895</v>
      </c>
      <c r="Z160" s="49"/>
      <c r="AA160" s="49"/>
    </row>
    <row r="161" spans="1:27" ht="27" customHeight="1">
      <c r="A161" s="67" t="s">
        <v>364</v>
      </c>
      <c r="B161" s="72" t="s">
        <v>307</v>
      </c>
      <c r="C161" s="72" t="s">
        <v>306</v>
      </c>
      <c r="D161" s="72" t="s">
        <v>486</v>
      </c>
      <c r="E161" s="63">
        <v>0</v>
      </c>
      <c r="F161" s="63">
        <v>0</v>
      </c>
      <c r="G161" s="63">
        <v>32551</v>
      </c>
      <c r="H161" s="63">
        <v>0</v>
      </c>
      <c r="I161" s="63">
        <v>0</v>
      </c>
      <c r="J161" s="81">
        <v>0</v>
      </c>
      <c r="K161" s="63">
        <v>2145</v>
      </c>
      <c r="L161" s="63"/>
      <c r="M161" s="68">
        <f>SUM(Tableau2[[#This Row],[LPR 2021 - repyramidage (agents ITRF)]:[Congé pour projet pédagogique 
EAP 2021]])</f>
        <v>34696</v>
      </c>
      <c r="N161" s="59"/>
      <c r="O161" s="87"/>
      <c r="P161" s="87"/>
      <c r="Q161" s="89">
        <f>Tableau2[[#This Row],[AAP hybridation des formations (P.363)]]+P161</f>
        <v>0</v>
      </c>
      <c r="R161" s="91"/>
      <c r="S161" s="57">
        <v>7468154</v>
      </c>
      <c r="T161" s="57">
        <v>646887</v>
      </c>
      <c r="U161" s="57">
        <v>0</v>
      </c>
      <c r="V161" s="57">
        <v>0</v>
      </c>
      <c r="W161" s="89">
        <f>SUM(Tableau2[[#This Row],[Masse salariale]:[Immobilier (sécurité, accessibilité, loyers, dévolution, Epaurif)]])</f>
        <v>8115041</v>
      </c>
      <c r="X161" s="122">
        <f>Tableau2[[#This Row],[Masse salariale]]+Tableau2[[#This Row],[Actions d''accompagnement ]]</f>
        <v>7468154</v>
      </c>
    </row>
    <row r="162" spans="1:27" s="52" customFormat="1" ht="23.25" customHeight="1">
      <c r="A162" s="67" t="s">
        <v>351</v>
      </c>
      <c r="B162" s="72" t="s">
        <v>67</v>
      </c>
      <c r="C162" s="72" t="s">
        <v>66</v>
      </c>
      <c r="D162" s="72" t="s">
        <v>486</v>
      </c>
      <c r="E162" s="63">
        <v>1012</v>
      </c>
      <c r="F162" s="63">
        <v>14947</v>
      </c>
      <c r="G162" s="63">
        <v>147150</v>
      </c>
      <c r="H162" s="63">
        <v>0</v>
      </c>
      <c r="I162" s="63">
        <v>0</v>
      </c>
      <c r="J162" s="81">
        <v>-18182</v>
      </c>
      <c r="K162" s="63">
        <v>14703</v>
      </c>
      <c r="L162" s="63">
        <v>6667</v>
      </c>
      <c r="M162" s="68">
        <f>SUM(Tableau2[[#This Row],[LPR 2021 - repyramidage (agents ITRF)]:[Congé pour projet pédagogique 
EAP 2021]])</f>
        <v>166297</v>
      </c>
      <c r="N162" s="59"/>
      <c r="O162" s="88"/>
      <c r="P162" s="88"/>
      <c r="Q162" s="90">
        <f>Tableau2[[#This Row],[AAP hybridation des formations (P.363)]]+P162</f>
        <v>0</v>
      </c>
      <c r="R162" s="88"/>
      <c r="S162" s="63">
        <v>45488421</v>
      </c>
      <c r="T162" s="63">
        <v>3451775</v>
      </c>
      <c r="U162" s="56">
        <v>0</v>
      </c>
      <c r="V162" s="56">
        <v>0</v>
      </c>
      <c r="W162" s="78">
        <f>SUM(Tableau2[[#This Row],[Masse salariale]:[Immobilier (sécurité, accessibilité, loyers, dévolution, Epaurif)]])</f>
        <v>48940196</v>
      </c>
      <c r="X162" s="122">
        <f>Tableau2[[#This Row],[Masse salariale]]+Tableau2[[#This Row],[Actions d''accompagnement ]]</f>
        <v>45488421</v>
      </c>
      <c r="Z162" s="49"/>
      <c r="AA162" s="49"/>
    </row>
    <row r="163" spans="1:27" ht="27" customHeight="1">
      <c r="A163" s="67" t="s">
        <v>133</v>
      </c>
      <c r="B163" s="72" t="s">
        <v>93</v>
      </c>
      <c r="C163" s="72" t="s">
        <v>92</v>
      </c>
      <c r="D163" s="72" t="s">
        <v>486</v>
      </c>
      <c r="E163" s="63">
        <v>477</v>
      </c>
      <c r="F163" s="63">
        <v>5066</v>
      </c>
      <c r="G163" s="63">
        <v>156669</v>
      </c>
      <c r="H163" s="63">
        <v>0</v>
      </c>
      <c r="I163" s="63">
        <v>0</v>
      </c>
      <c r="J163" s="81">
        <v>-37903</v>
      </c>
      <c r="K163" s="63">
        <v>8093</v>
      </c>
      <c r="L163" s="63">
        <v>10000</v>
      </c>
      <c r="M163" s="68">
        <f>SUM(Tableau2[[#This Row],[LPR 2021 - repyramidage (agents ITRF)]:[Congé pour projet pédagogique 
EAP 2021]])</f>
        <v>142402</v>
      </c>
      <c r="N163" s="59"/>
      <c r="O163" s="87"/>
      <c r="P163" s="87"/>
      <c r="Q163" s="89">
        <f>Tableau2[[#This Row],[AAP hybridation des formations (P.363)]]+P163</f>
        <v>0</v>
      </c>
      <c r="R163" s="91"/>
      <c r="S163" s="57">
        <v>30209331</v>
      </c>
      <c r="T163" s="57">
        <v>1825579</v>
      </c>
      <c r="U163" s="57">
        <v>1210992</v>
      </c>
      <c r="V163" s="57">
        <v>0</v>
      </c>
      <c r="W163" s="89">
        <f>SUM(Tableau2[[#This Row],[Masse salariale]:[Immobilier (sécurité, accessibilité, loyers, dévolution, Epaurif)]])</f>
        <v>33245902</v>
      </c>
      <c r="X163" s="122">
        <f>Tableau2[[#This Row],[Masse salariale]]+Tableau2[[#This Row],[Actions d''accompagnement ]]</f>
        <v>31420323</v>
      </c>
    </row>
    <row r="164" spans="1:27" s="52" customFormat="1" ht="23.25" customHeight="1">
      <c r="A164" s="67" t="s">
        <v>259</v>
      </c>
      <c r="B164" s="72" t="s">
        <v>319</v>
      </c>
      <c r="C164" s="72" t="s">
        <v>318</v>
      </c>
      <c r="D164" s="72" t="s">
        <v>486</v>
      </c>
      <c r="E164" s="63"/>
      <c r="F164" s="63"/>
      <c r="G164" s="63"/>
      <c r="H164" s="63"/>
      <c r="I164" s="63"/>
      <c r="J164" s="81">
        <v>0</v>
      </c>
      <c r="K164" s="63"/>
      <c r="L164" s="63"/>
      <c r="M164" s="68">
        <f>SUM(Tableau2[[#This Row],[LPR 2021 - repyramidage (agents ITRF)]:[Congé pour projet pédagogique 
EAP 2021]])</f>
        <v>0</v>
      </c>
      <c r="N164" s="59"/>
      <c r="O164" s="88"/>
      <c r="P164" s="88"/>
      <c r="Q164" s="90">
        <f>Tableau2[[#This Row],[AAP hybridation des formations (P.363)]]+P164</f>
        <v>0</v>
      </c>
      <c r="R164" s="88"/>
      <c r="S164" s="63">
        <v>6579402</v>
      </c>
      <c r="T164" s="63">
        <v>15322014</v>
      </c>
      <c r="U164" s="56">
        <v>310000</v>
      </c>
      <c r="V164" s="56">
        <v>0</v>
      </c>
      <c r="W164" s="78">
        <f>SUM(Tableau2[[#This Row],[Masse salariale]:[Immobilier (sécurité, accessibilité, loyers, dévolution, Epaurif)]])</f>
        <v>22211416</v>
      </c>
      <c r="X164" s="122">
        <f>Tableau2[[#This Row],[Masse salariale]]+Tableau2[[#This Row],[Actions d''accompagnement ]]</f>
        <v>6889402</v>
      </c>
      <c r="Z164" s="49"/>
      <c r="AA164" s="49"/>
    </row>
    <row r="165" spans="1:27" ht="27" customHeight="1">
      <c r="A165" s="67" t="s">
        <v>257</v>
      </c>
      <c r="B165" s="72" t="s">
        <v>513</v>
      </c>
      <c r="C165" s="72" t="s">
        <v>330</v>
      </c>
      <c r="D165" s="72" t="s">
        <v>486</v>
      </c>
      <c r="E165" s="63"/>
      <c r="F165" s="63"/>
      <c r="G165" s="63"/>
      <c r="H165" s="63">
        <v>0</v>
      </c>
      <c r="I165" s="63">
        <v>0</v>
      </c>
      <c r="J165" s="81">
        <v>0</v>
      </c>
      <c r="K165" s="63">
        <v>9365</v>
      </c>
      <c r="L165" s="63"/>
      <c r="M165" s="68">
        <f>SUM(Tableau2[[#This Row],[LPR 2021 - repyramidage (agents ITRF)]:[Congé pour projet pédagogique 
EAP 2021]])</f>
        <v>9365</v>
      </c>
      <c r="N165" s="59"/>
      <c r="O165" s="100"/>
      <c r="P165" s="100"/>
      <c r="Q165" s="101">
        <f>Tableau2[[#This Row],[AAP hybridation des formations (P.363)]]+P165</f>
        <v>0</v>
      </c>
      <c r="R165" s="102"/>
      <c r="S165" s="57">
        <v>6454524</v>
      </c>
      <c r="T165" s="57">
        <v>3476265</v>
      </c>
      <c r="U165" s="57">
        <v>0</v>
      </c>
      <c r="V165" s="57">
        <v>0</v>
      </c>
      <c r="W165" s="58">
        <f>SUM(Tableau2[[#This Row],[Masse salariale]:[Immobilier (sécurité, accessibilité, loyers, dévolution, Epaurif)]])</f>
        <v>9930789</v>
      </c>
      <c r="X165" s="122">
        <f>Tableau2[[#This Row],[Masse salariale]]+Tableau2[[#This Row],[Actions d''accompagnement ]]</f>
        <v>6454524</v>
      </c>
    </row>
    <row r="166" spans="1:27" s="52" customFormat="1" ht="23.25" customHeight="1">
      <c r="A166" s="67" t="s">
        <v>74</v>
      </c>
      <c r="B166" s="72" t="s">
        <v>514</v>
      </c>
      <c r="C166" s="72" t="s">
        <v>324</v>
      </c>
      <c r="D166" s="72" t="s">
        <v>486</v>
      </c>
      <c r="E166" s="63"/>
      <c r="F166" s="63"/>
      <c r="G166" s="63"/>
      <c r="H166" s="63">
        <v>0</v>
      </c>
      <c r="I166" s="63">
        <v>0</v>
      </c>
      <c r="J166" s="81">
        <v>500000</v>
      </c>
      <c r="K166" s="63">
        <v>0</v>
      </c>
      <c r="L166" s="63">
        <v>3333</v>
      </c>
      <c r="M166" s="68">
        <f>SUM(Tableau2[[#This Row],[LPR 2021 - repyramidage (agents ITRF)]:[Congé pour projet pédagogique 
EAP 2021]])</f>
        <v>503333</v>
      </c>
      <c r="N166" s="59"/>
      <c r="O166" s="63"/>
      <c r="P166" s="63"/>
      <c r="Q166" s="68">
        <f>Tableau2[[#This Row],[AAP hybridation des formations (P.363)]]+P166</f>
        <v>0</v>
      </c>
      <c r="R166" s="63"/>
      <c r="S166" s="63">
        <v>56766868</v>
      </c>
      <c r="T166" s="63">
        <v>11078941</v>
      </c>
      <c r="U166" s="56">
        <v>2445319</v>
      </c>
      <c r="V166" s="56">
        <v>1750000</v>
      </c>
      <c r="W166" s="78">
        <f>SUM(Tableau2[[#This Row],[Masse salariale]:[Immobilier (sécurité, accessibilité, loyers, dévolution, Epaurif)]])</f>
        <v>72041128</v>
      </c>
      <c r="X166" s="122">
        <f>Tableau2[[#This Row],[Masse salariale]]+Tableau2[[#This Row],[Actions d''accompagnement ]]</f>
        <v>59212187</v>
      </c>
      <c r="Z166" s="49"/>
      <c r="AA166" s="49"/>
    </row>
    <row r="167" spans="1:27" ht="27" customHeight="1">
      <c r="A167" s="67" t="s">
        <v>147</v>
      </c>
      <c r="B167" s="72" t="s">
        <v>321</v>
      </c>
      <c r="C167" s="72" t="s">
        <v>320</v>
      </c>
      <c r="D167" s="72" t="s">
        <v>486</v>
      </c>
      <c r="E167" s="63"/>
      <c r="F167" s="63"/>
      <c r="G167" s="63"/>
      <c r="H167" s="63"/>
      <c r="I167" s="63"/>
      <c r="J167" s="81">
        <v>0</v>
      </c>
      <c r="K167" s="63"/>
      <c r="L167" s="63"/>
      <c r="M167" s="68">
        <f>SUM(Tableau2[[#This Row],[LPR 2021 - repyramidage (agents ITRF)]:[Congé pour projet pédagogique 
EAP 2021]])</f>
        <v>0</v>
      </c>
      <c r="N167" s="59"/>
      <c r="O167" s="87"/>
      <c r="P167" s="87"/>
      <c r="Q167" s="89">
        <f>Tableau2[[#This Row],[AAP hybridation des formations (P.363)]]+P167</f>
        <v>0</v>
      </c>
      <c r="R167" s="91"/>
      <c r="S167" s="57">
        <v>120836</v>
      </c>
      <c r="T167" s="57">
        <v>9554383</v>
      </c>
      <c r="U167" s="57">
        <v>0</v>
      </c>
      <c r="V167" s="57">
        <v>0</v>
      </c>
      <c r="W167" s="89">
        <f>SUM(Tableau2[[#This Row],[Masse salariale]:[Immobilier (sécurité, accessibilité, loyers, dévolution, Epaurif)]])</f>
        <v>9675219</v>
      </c>
      <c r="X167" s="122">
        <f>Tableau2[[#This Row],[Masse salariale]]+Tableau2[[#This Row],[Actions d''accompagnement ]]</f>
        <v>120836</v>
      </c>
    </row>
    <row r="168" spans="1:27" s="52" customFormat="1" ht="23.25" customHeight="1">
      <c r="A168" s="67" t="s">
        <v>80</v>
      </c>
      <c r="B168" s="72" t="s">
        <v>350</v>
      </c>
      <c r="C168" s="72" t="s">
        <v>349</v>
      </c>
      <c r="D168" s="72" t="s">
        <v>486</v>
      </c>
      <c r="E168" s="63"/>
      <c r="F168" s="63"/>
      <c r="G168" s="63"/>
      <c r="H168" s="63"/>
      <c r="I168" s="63"/>
      <c r="J168" s="81">
        <v>0</v>
      </c>
      <c r="K168" s="63"/>
      <c r="L168" s="63"/>
      <c r="M168" s="68">
        <f>SUM(Tableau2[[#This Row],[LPR 2021 - repyramidage (agents ITRF)]:[Congé pour projet pédagogique 
EAP 2021]])</f>
        <v>0</v>
      </c>
      <c r="N168" s="59"/>
      <c r="O168" s="88"/>
      <c r="P168" s="88"/>
      <c r="Q168" s="90">
        <f>Tableau2[[#This Row],[AAP hybridation des formations (P.363)]]+P168</f>
        <v>0</v>
      </c>
      <c r="R168" s="88"/>
      <c r="S168" s="63">
        <v>1258761</v>
      </c>
      <c r="T168" s="63">
        <v>1684941</v>
      </c>
      <c r="U168" s="56">
        <v>263493</v>
      </c>
      <c r="V168" s="56">
        <v>0</v>
      </c>
      <c r="W168" s="78">
        <f>SUM(Tableau2[[#This Row],[Masse salariale]:[Immobilier (sécurité, accessibilité, loyers, dévolution, Epaurif)]])</f>
        <v>3207195</v>
      </c>
      <c r="X168" s="122">
        <f>Tableau2[[#This Row],[Masse salariale]]+Tableau2[[#This Row],[Actions d''accompagnement ]]</f>
        <v>1522254</v>
      </c>
      <c r="Z168" s="49"/>
      <c r="AA168" s="49"/>
    </row>
    <row r="169" spans="1:27" ht="27" customHeight="1">
      <c r="A169" s="67" t="s">
        <v>139</v>
      </c>
      <c r="B169" s="72" t="s">
        <v>551</v>
      </c>
      <c r="C169" s="72" t="s">
        <v>351</v>
      </c>
      <c r="D169" s="72" t="s">
        <v>486</v>
      </c>
      <c r="E169" s="63"/>
      <c r="F169" s="63"/>
      <c r="G169" s="63"/>
      <c r="H169" s="63"/>
      <c r="I169" s="63"/>
      <c r="J169" s="81">
        <v>0</v>
      </c>
      <c r="K169" s="63"/>
      <c r="L169" s="63"/>
      <c r="M169" s="68">
        <f>SUM(Tableau2[[#This Row],[LPR 2021 - repyramidage (agents ITRF)]:[Congé pour projet pédagogique 
EAP 2021]])</f>
        <v>0</v>
      </c>
      <c r="N169" s="59"/>
      <c r="O169" s="87"/>
      <c r="P169" s="87"/>
      <c r="Q169" s="89">
        <f>Tableau2[[#This Row],[AAP hybridation des formations (P.363)]]+P169</f>
        <v>0</v>
      </c>
      <c r="R169" s="91"/>
      <c r="S169" s="57">
        <v>572041</v>
      </c>
      <c r="T169" s="57">
        <v>304762</v>
      </c>
      <c r="U169" s="57">
        <v>70000</v>
      </c>
      <c r="V169" s="57">
        <v>0</v>
      </c>
      <c r="W169" s="89">
        <f>SUM(Tableau2[[#This Row],[Masse salariale]:[Immobilier (sécurité, accessibilité, loyers, dévolution, Epaurif)]])</f>
        <v>946803</v>
      </c>
      <c r="X169" s="122">
        <f>Tableau2[[#This Row],[Masse salariale]]+Tableau2[[#This Row],[Actions d''accompagnement ]]</f>
        <v>642041</v>
      </c>
    </row>
    <row r="170" spans="1:27" s="52" customFormat="1" ht="23.25" customHeight="1">
      <c r="A170" s="67" t="s">
        <v>263</v>
      </c>
      <c r="B170" s="72" t="s">
        <v>323</v>
      </c>
      <c r="C170" s="72" t="s">
        <v>322</v>
      </c>
      <c r="D170" s="72" t="s">
        <v>486</v>
      </c>
      <c r="E170" s="63"/>
      <c r="F170" s="63"/>
      <c r="G170" s="63"/>
      <c r="H170" s="63"/>
      <c r="I170" s="63"/>
      <c r="J170" s="81">
        <v>0</v>
      </c>
      <c r="K170" s="63"/>
      <c r="L170" s="63"/>
      <c r="M170" s="68">
        <f>SUM(Tableau2[[#This Row],[LPR 2021 - repyramidage (agents ITRF)]:[Congé pour projet pédagogique 
EAP 2021]])</f>
        <v>0</v>
      </c>
      <c r="N170" s="59"/>
      <c r="O170" s="88"/>
      <c r="P170" s="88"/>
      <c r="Q170" s="90">
        <f>Tableau2[[#This Row],[AAP hybridation des formations (P.363)]]+P170</f>
        <v>0</v>
      </c>
      <c r="R170" s="88"/>
      <c r="S170" s="63">
        <v>648596</v>
      </c>
      <c r="T170" s="63">
        <v>5531344</v>
      </c>
      <c r="U170" s="56">
        <v>0</v>
      </c>
      <c r="V170" s="56">
        <v>0</v>
      </c>
      <c r="W170" s="78">
        <f>SUM(Tableau2[[#This Row],[Masse salariale]:[Immobilier (sécurité, accessibilité, loyers, dévolution, Epaurif)]])</f>
        <v>6179940</v>
      </c>
      <c r="X170" s="122">
        <f>Tableau2[[#This Row],[Masse salariale]]+Tableau2[[#This Row],[Actions d''accompagnement ]]</f>
        <v>648596</v>
      </c>
      <c r="Z170" s="49"/>
      <c r="AA170" s="49"/>
    </row>
    <row r="171" spans="1:27" ht="27" customHeight="1">
      <c r="A171" s="67" t="s">
        <v>204</v>
      </c>
      <c r="B171" s="72" t="s">
        <v>309</v>
      </c>
      <c r="C171" s="72" t="s">
        <v>308</v>
      </c>
      <c r="D171" s="72" t="s">
        <v>486</v>
      </c>
      <c r="E171" s="63"/>
      <c r="F171" s="63"/>
      <c r="G171" s="63"/>
      <c r="H171" s="63">
        <v>0</v>
      </c>
      <c r="I171" s="63">
        <v>0</v>
      </c>
      <c r="J171" s="81">
        <v>0</v>
      </c>
      <c r="K171" s="63">
        <v>2413</v>
      </c>
      <c r="L171" s="63"/>
      <c r="M171" s="68">
        <f>SUM(Tableau2[[#This Row],[LPR 2021 - repyramidage (agents ITRF)]:[Congé pour projet pédagogique 
EAP 2021]])</f>
        <v>2413</v>
      </c>
      <c r="N171" s="59"/>
      <c r="O171" s="100"/>
      <c r="P171" s="100"/>
      <c r="Q171" s="101">
        <f>Tableau2[[#This Row],[AAP hybridation des formations (P.363)]]+P171</f>
        <v>0</v>
      </c>
      <c r="R171" s="102"/>
      <c r="S171" s="57">
        <v>4360529</v>
      </c>
      <c r="T171" s="57">
        <v>621119</v>
      </c>
      <c r="U171" s="57">
        <v>0</v>
      </c>
      <c r="V171" s="57">
        <v>0</v>
      </c>
      <c r="W171" s="58">
        <f>SUM(Tableau2[[#This Row],[Masse salariale]:[Immobilier (sécurité, accessibilité, loyers, dévolution, Epaurif)]])</f>
        <v>4981648</v>
      </c>
      <c r="X171" s="122">
        <f>Tableau2[[#This Row],[Masse salariale]]+Tableau2[[#This Row],[Actions d''accompagnement ]]</f>
        <v>4360529</v>
      </c>
    </row>
    <row r="172" spans="1:27" s="52" customFormat="1" ht="23.25" customHeight="1">
      <c r="A172" s="67" t="s">
        <v>155</v>
      </c>
      <c r="B172" s="72" t="s">
        <v>329</v>
      </c>
      <c r="C172" s="72" t="s">
        <v>328</v>
      </c>
      <c r="D172" s="72" t="s">
        <v>486</v>
      </c>
      <c r="E172" s="63"/>
      <c r="F172" s="63"/>
      <c r="G172" s="63"/>
      <c r="H172" s="63"/>
      <c r="I172" s="63"/>
      <c r="J172" s="81">
        <v>0</v>
      </c>
      <c r="K172" s="63"/>
      <c r="L172" s="63"/>
      <c r="M172" s="68">
        <f>SUM(Tableau2[[#This Row],[LPR 2021 - repyramidage (agents ITRF)]:[Congé pour projet pédagogique 
EAP 2021]])</f>
        <v>0</v>
      </c>
      <c r="N172" s="59"/>
      <c r="O172" s="88"/>
      <c r="P172" s="88"/>
      <c r="Q172" s="90">
        <f>Tableau2[[#This Row],[AAP hybridation des formations (P.363)]]+P172</f>
        <v>0</v>
      </c>
      <c r="R172" s="88"/>
      <c r="S172" s="63">
        <v>1077184</v>
      </c>
      <c r="T172" s="63">
        <v>4193240</v>
      </c>
      <c r="U172" s="56">
        <v>0</v>
      </c>
      <c r="V172" s="56">
        <v>0</v>
      </c>
      <c r="W172" s="78">
        <f>SUM(Tableau2[[#This Row],[Masse salariale]:[Immobilier (sécurité, accessibilité, loyers, dévolution, Epaurif)]])</f>
        <v>5270424</v>
      </c>
      <c r="X172" s="122">
        <f>Tableau2[[#This Row],[Masse salariale]]+Tableau2[[#This Row],[Actions d''accompagnement ]]</f>
        <v>1077184</v>
      </c>
      <c r="Z172" s="49"/>
      <c r="AA172" s="49"/>
    </row>
    <row r="173" spans="1:27" ht="27" customHeight="1">
      <c r="A173" s="67" t="s">
        <v>270</v>
      </c>
      <c r="B173" s="72" t="s">
        <v>365</v>
      </c>
      <c r="C173" s="72" t="s">
        <v>364</v>
      </c>
      <c r="D173" s="72" t="s">
        <v>486</v>
      </c>
      <c r="E173" s="63"/>
      <c r="F173" s="63"/>
      <c r="G173" s="63"/>
      <c r="H173" s="63"/>
      <c r="I173" s="63"/>
      <c r="J173" s="81">
        <v>0</v>
      </c>
      <c r="K173" s="63"/>
      <c r="L173" s="63"/>
      <c r="M173" s="68">
        <f>SUM(Tableau2[[#This Row],[LPR 2021 - repyramidage (agents ITRF)]:[Congé pour projet pédagogique 
EAP 2021]])</f>
        <v>0</v>
      </c>
      <c r="N173" s="59"/>
      <c r="O173" s="87"/>
      <c r="P173" s="87"/>
      <c r="Q173" s="89">
        <f>Tableau2[[#This Row],[AAP hybridation des formations (P.363)]]+P173</f>
        <v>0</v>
      </c>
      <c r="R173" s="91"/>
      <c r="S173" s="57">
        <v>54923</v>
      </c>
      <c r="T173" s="57">
        <v>1866278</v>
      </c>
      <c r="U173" s="57">
        <v>0</v>
      </c>
      <c r="V173" s="57">
        <v>0</v>
      </c>
      <c r="W173" s="89">
        <f>SUM(Tableau2[[#This Row],[Masse salariale]:[Immobilier (sécurité, accessibilité, loyers, dévolution, Epaurif)]])</f>
        <v>1921201</v>
      </c>
      <c r="X173" s="122">
        <f>Tableau2[[#This Row],[Masse salariale]]+Tableau2[[#This Row],[Actions d''accompagnement ]]</f>
        <v>54923</v>
      </c>
    </row>
    <row r="174" spans="1:27" s="52" customFormat="1" ht="23.25" customHeight="1">
      <c r="A174" s="67" t="s">
        <v>187</v>
      </c>
      <c r="B174" s="72" t="s">
        <v>529</v>
      </c>
      <c r="C174" s="72" t="s">
        <v>332</v>
      </c>
      <c r="D174" s="72" t="s">
        <v>486</v>
      </c>
      <c r="E174" s="63"/>
      <c r="F174" s="63"/>
      <c r="G174" s="63"/>
      <c r="H174" s="63">
        <v>0</v>
      </c>
      <c r="I174" s="63">
        <v>0</v>
      </c>
      <c r="J174" s="81">
        <v>36363</v>
      </c>
      <c r="K174" s="63">
        <v>4410</v>
      </c>
      <c r="L174" s="63">
        <v>10000</v>
      </c>
      <c r="M174" s="68">
        <f>SUM(Tableau2[[#This Row],[LPR 2021 - repyramidage (agents ITRF)]:[Congé pour projet pédagogique 
EAP 2021]])</f>
        <v>50773</v>
      </c>
      <c r="N174" s="59"/>
      <c r="O174" s="88"/>
      <c r="P174" s="88"/>
      <c r="Q174" s="90">
        <f>Tableau2[[#This Row],[AAP hybridation des formations (P.363)]]+P174</f>
        <v>0</v>
      </c>
      <c r="R174" s="60"/>
      <c r="S174" s="63">
        <v>3324077</v>
      </c>
      <c r="T174" s="63">
        <v>34012712</v>
      </c>
      <c r="U174" s="56">
        <v>2831296</v>
      </c>
      <c r="V174" s="56">
        <v>200000</v>
      </c>
      <c r="W174" s="78">
        <f>SUM(Tableau2[[#This Row],[Masse salariale]:[Immobilier (sécurité, accessibilité, loyers, dévolution, Epaurif)]])</f>
        <v>40368085</v>
      </c>
      <c r="X174" s="122">
        <f>Tableau2[[#This Row],[Masse salariale]]+Tableau2[[#This Row],[Actions d''accompagnement ]]</f>
        <v>6155373</v>
      </c>
      <c r="Z174" s="49"/>
      <c r="AA174" s="49"/>
    </row>
    <row r="175" spans="1:27" ht="27" customHeight="1">
      <c r="A175" s="67" t="s">
        <v>189</v>
      </c>
      <c r="B175" s="72" t="s">
        <v>512</v>
      </c>
      <c r="C175" s="72" t="s">
        <v>333</v>
      </c>
      <c r="D175" s="72" t="s">
        <v>507</v>
      </c>
      <c r="E175" s="63"/>
      <c r="F175" s="63"/>
      <c r="G175" s="63"/>
      <c r="H175" s="63">
        <v>0</v>
      </c>
      <c r="I175" s="63">
        <v>0</v>
      </c>
      <c r="J175" s="81">
        <v>0</v>
      </c>
      <c r="K175" s="63">
        <v>0</v>
      </c>
      <c r="L175" s="63">
        <v>3333</v>
      </c>
      <c r="M175" s="68">
        <f>SUM(Tableau2[[#This Row],[LPR 2021 - repyramidage (agents ITRF)]:[Congé pour projet pédagogique 
EAP 2021]])</f>
        <v>3333</v>
      </c>
      <c r="N175" s="59"/>
      <c r="O175" s="87"/>
      <c r="P175" s="87"/>
      <c r="Q175" s="89">
        <f>Tableau2[[#This Row],[AAP hybridation des formations (P.363)]]+P175</f>
        <v>0</v>
      </c>
      <c r="R175" s="91"/>
      <c r="S175" s="57">
        <v>1008118</v>
      </c>
      <c r="T175" s="57">
        <v>1258453</v>
      </c>
      <c r="U175" s="57">
        <v>91059</v>
      </c>
      <c r="V175" s="57">
        <v>0</v>
      </c>
      <c r="W175" s="89">
        <f>SUM(Tableau2[[#This Row],[Masse salariale]:[Immobilier (sécurité, accessibilité, loyers, dévolution, Epaurif)]])</f>
        <v>2357630</v>
      </c>
      <c r="X175" s="122">
        <f>Tableau2[[#This Row],[Masse salariale]]+Tableau2[[#This Row],[Actions d''accompagnement ]]</f>
        <v>1099177</v>
      </c>
    </row>
    <row r="176" spans="1:27" s="52" customFormat="1" ht="23.25" customHeight="1">
      <c r="A176" s="67" t="s">
        <v>55</v>
      </c>
      <c r="B176" s="72" t="s">
        <v>89</v>
      </c>
      <c r="C176" s="72" t="s">
        <v>88</v>
      </c>
      <c r="D176" s="72" t="s">
        <v>507</v>
      </c>
      <c r="E176" s="63">
        <v>104</v>
      </c>
      <c r="F176" s="63">
        <v>1116</v>
      </c>
      <c r="G176" s="63">
        <v>18682</v>
      </c>
      <c r="H176" s="63">
        <v>0</v>
      </c>
      <c r="I176" s="63">
        <v>0</v>
      </c>
      <c r="J176" s="81">
        <v>0</v>
      </c>
      <c r="K176" s="63">
        <v>1199</v>
      </c>
      <c r="L176" s="63">
        <v>1111</v>
      </c>
      <c r="M176" s="68">
        <f>SUM(Tableau2[[#This Row],[LPR 2021 - repyramidage (agents ITRF)]:[Congé pour projet pédagogique 
EAP 2021]])</f>
        <v>22212</v>
      </c>
      <c r="N176" s="59"/>
      <c r="O176" s="63"/>
      <c r="P176" s="63"/>
      <c r="Q176" s="68">
        <f>Tableau2[[#This Row],[AAP hybridation des formations (P.363)]]+P176</f>
        <v>0</v>
      </c>
      <c r="R176" s="63"/>
      <c r="S176" s="63">
        <v>4412403</v>
      </c>
      <c r="T176" s="63">
        <v>1279053</v>
      </c>
      <c r="U176" s="56">
        <v>0</v>
      </c>
      <c r="V176" s="56">
        <v>0</v>
      </c>
      <c r="W176" s="78">
        <f>SUM(Tableau2[[#This Row],[Masse salariale]:[Immobilier (sécurité, accessibilité, loyers, dévolution, Epaurif)]])</f>
        <v>5691456</v>
      </c>
      <c r="X176" s="122">
        <f>Tableau2[[#This Row],[Masse salariale]]+Tableau2[[#This Row],[Actions d''accompagnement ]]</f>
        <v>4412403</v>
      </c>
      <c r="Z176" s="49"/>
      <c r="AA176" s="49"/>
    </row>
    <row r="177" spans="1:29" ht="27" customHeight="1">
      <c r="A177" s="67" t="s">
        <v>272</v>
      </c>
      <c r="B177" s="72" t="s">
        <v>342</v>
      </c>
      <c r="C177" s="72" t="s">
        <v>341</v>
      </c>
      <c r="D177" s="72" t="s">
        <v>507</v>
      </c>
      <c r="E177" s="63"/>
      <c r="F177" s="63"/>
      <c r="G177" s="63"/>
      <c r="H177" s="63">
        <v>0</v>
      </c>
      <c r="I177" s="63">
        <v>0</v>
      </c>
      <c r="J177" s="81">
        <v>0</v>
      </c>
      <c r="K177" s="63">
        <v>0</v>
      </c>
      <c r="L177" s="63">
        <v>1111</v>
      </c>
      <c r="M177" s="68">
        <f>SUM(Tableau2[[#This Row],[LPR 2021 - repyramidage (agents ITRF)]:[Congé pour projet pédagogique 
EAP 2021]])</f>
        <v>1111</v>
      </c>
      <c r="N177" s="59"/>
      <c r="O177" s="87"/>
      <c r="P177" s="87"/>
      <c r="Q177" s="89">
        <f>Tableau2[[#This Row],[AAP hybridation des formations (P.363)]]+P177</f>
        <v>0</v>
      </c>
      <c r="R177" s="91"/>
      <c r="S177" s="57">
        <v>104667</v>
      </c>
      <c r="T177" s="57">
        <v>407859</v>
      </c>
      <c r="U177" s="57">
        <v>0</v>
      </c>
      <c r="V177" s="57">
        <v>0</v>
      </c>
      <c r="W177" s="89">
        <f>SUM(Tableau2[[#This Row],[Masse salariale]:[Immobilier (sécurité, accessibilité, loyers, dévolution, Epaurif)]])</f>
        <v>512526</v>
      </c>
      <c r="X177" s="122">
        <f>Tableau2[[#This Row],[Masse salariale]]+Tableau2[[#This Row],[Actions d''accompagnement ]]</f>
        <v>104667</v>
      </c>
    </row>
    <row r="178" spans="1:29" s="52" customFormat="1" ht="23.25" customHeight="1">
      <c r="A178" s="67"/>
      <c r="B178" s="72" t="s">
        <v>166</v>
      </c>
      <c r="C178" s="72" t="s">
        <v>165</v>
      </c>
      <c r="D178" s="72" t="s">
        <v>507</v>
      </c>
      <c r="E178" s="63">
        <v>2111</v>
      </c>
      <c r="F178" s="63">
        <v>43291</v>
      </c>
      <c r="G178" s="63">
        <v>849254</v>
      </c>
      <c r="H178" s="63">
        <v>494587</v>
      </c>
      <c r="I178" s="63">
        <v>37333.000000000102</v>
      </c>
      <c r="J178" s="81">
        <v>36562</v>
      </c>
      <c r="K178" s="63">
        <v>100227</v>
      </c>
      <c r="L178" s="63">
        <v>40000</v>
      </c>
      <c r="M178" s="68">
        <f>SUM(Tableau2[[#This Row],[LPR 2021 - repyramidage (agents ITRF)]:[Congé pour projet pédagogique 
EAP 2021]])</f>
        <v>1603365</v>
      </c>
      <c r="N178" s="59"/>
      <c r="O178" s="63"/>
      <c r="P178" s="63"/>
      <c r="Q178" s="68">
        <f>Tableau2[[#This Row],[AAP hybridation des formations (P.363)]]+P178</f>
        <v>0</v>
      </c>
      <c r="R178" s="91"/>
      <c r="S178" s="63">
        <v>161151059</v>
      </c>
      <c r="T178" s="63">
        <v>10422460</v>
      </c>
      <c r="U178" s="56">
        <v>671631</v>
      </c>
      <c r="V178" s="56">
        <v>290000</v>
      </c>
      <c r="W178" s="78">
        <f>SUM(Tableau2[[#This Row],[Masse salariale]:[Immobilier (sécurité, accessibilité, loyers, dévolution, Epaurif)]])</f>
        <v>172535150</v>
      </c>
      <c r="X178" s="122">
        <f>Tableau2[[#This Row],[Masse salariale]]+Tableau2[[#This Row],[Actions d''accompagnement ]]</f>
        <v>161822690</v>
      </c>
      <c r="Z178" s="49"/>
      <c r="AA178" s="49"/>
    </row>
    <row r="179" spans="1:29" ht="34">
      <c r="A179" s="98" t="s">
        <v>469</v>
      </c>
      <c r="B179" s="80"/>
      <c r="C179" s="82"/>
      <c r="D179" s="80"/>
      <c r="E179" s="83">
        <f>SUBTOTAL(109,Tableau2[LPR 2021 - repyramidage (agents ITRF)])</f>
        <v>221928</v>
      </c>
      <c r="F179" s="83">
        <f>SUBTOTAL(109,Tableau2[LPR 2021 - refonte indemnitaire (agents BIATSS)])</f>
        <v>4081107</v>
      </c>
      <c r="G179" s="83">
        <f>SUBTOTAL(109,Tableau2[LPR - refonte indemnitaire (EC et enseignants du second degré)])</f>
        <v>52023836</v>
      </c>
      <c r="H179" s="83">
        <f>SUBTOTAL(109,Tableau2[Loi ORE
EAP 2021])</f>
        <v>15527959</v>
      </c>
      <c r="I179" s="83">
        <f>SUBTOTAL(109,Tableau2[Réforme des études de santé
EAP 2021])</f>
        <v>14838967.999999996</v>
      </c>
      <c r="J179" s="83">
        <f>SUBTOTAL(109,Tableau2[Actualisations et mesures diverses : PUPH en surnombre, personnels de santé, astronomes et physiciens, soutiens divers…])</f>
        <v>3396013</v>
      </c>
      <c r="K179" s="83">
        <f>SUBTOTAL(109,Tableau2[Compensation
de la mise en œuvre 
du  PPCR])</f>
        <v>8911422</v>
      </c>
      <c r="L179" s="83">
        <f>SUBTOTAL(109,Tableau2[Congé pour projet pédagogique 
EAP 2021])</f>
        <v>3024437</v>
      </c>
      <c r="M179" s="83">
        <f>SUBTOTAL(109,Tableau2[TOTAL P.150])</f>
        <v>102025670</v>
      </c>
      <c r="N179" s="84"/>
      <c r="O179" s="83">
        <f>SUBTOTAL(109,Tableau2[AAP hybridation des formations (P.363)])</f>
        <v>16000000</v>
      </c>
      <c r="P179" s="83">
        <f>SUBTOTAL(109,Tableau2[Places supplémentaires rentrée 2020 (financement année pleine 2021) (P.364)])</f>
        <v>10373710</v>
      </c>
      <c r="Q179" s="83">
        <f>SUBTOTAL(109,Tableau2[TOTAL Plan de relance (P.363 et P.364)])</f>
        <v>26373710</v>
      </c>
      <c r="R179" s="83">
        <f>SUBTOTAL(109,Tableau2[nombre de places supplémentaires financées à 6000€])</f>
        <v>4395.618333333332</v>
      </c>
      <c r="S179" s="85">
        <f>SUM(Tableau2[Masse salariale])</f>
        <v>11492288177</v>
      </c>
      <c r="T179" s="85">
        <f>SUM(Tableau2[Fonctionnement])</f>
        <v>1212441781</v>
      </c>
      <c r="U179" s="85">
        <f>SUM(Tableau2[Actions d''accompagnement ])</f>
        <v>77348908</v>
      </c>
      <c r="V179" s="85">
        <f>SUM(Tableau2[Immobilier (sécurité, accessibilité, loyers, dévolution, Epaurif)])</f>
        <v>46520000</v>
      </c>
      <c r="W179" s="85">
        <f>SUM(Tableau2[TOTAL SCSP 2021])</f>
        <v>12828598866</v>
      </c>
      <c r="X179" s="121"/>
      <c r="Y179" s="131">
        <v>1280667899</v>
      </c>
      <c r="Z179" s="130">
        <v>-69665066</v>
      </c>
      <c r="AA179" s="132">
        <f>Y179+Z179</f>
        <v>1211002833</v>
      </c>
      <c r="AB179" s="133">
        <f>Tableau2[[#Totals],[Fonctionnement]]-AA179</f>
        <v>1438948</v>
      </c>
      <c r="AC179" s="135">
        <f>T179*(1-$AC$4)-AA179</f>
        <v>-71307558.860000134</v>
      </c>
    </row>
    <row r="180" spans="1:29" ht="31">
      <c r="M180" s="93">
        <f>Tableau2[[#Totals],[TOTAL P.150]]/Tableau2[[#Totals],[Masse salariale]]</f>
        <v>8.8777507515159833E-3</v>
      </c>
      <c r="O180" s="99">
        <f>Tableau2[[#Totals],[AAP hybridation des formations (P.363)]]/6000</f>
        <v>2666.6666666666665</v>
      </c>
      <c r="P180" s="92">
        <f>Tableau2[[#Totals],[Places supplémentaires rentrée 2020 (financement année pleine 2021) (P.364)]]/6000</f>
        <v>1728.9516666666666</v>
      </c>
      <c r="Q180" s="92"/>
      <c r="S180" s="93">
        <f>(Tableau2[[#Totals],[Masse salariale]]-S181)/S181</f>
        <v>1.199202029711959E-2</v>
      </c>
      <c r="T180" s="93">
        <f>(Tableau2[[#Totals],[Fonctionnement]]-T181)/T181</f>
        <v>-5.3273856597228567E-2</v>
      </c>
      <c r="W180" s="93">
        <f>(Tableau2[[#Totals],[TOTAL Plan de relance (P.363 et P.364)]]+Tableau2[[#Totals],[TOTAL P.150]])/12663445723</f>
        <v>1.0139371448230275E-2</v>
      </c>
      <c r="AA180" s="134">
        <f>(Tableau2[[#Totals],[Fonctionnement]]-AA179)/AA179</f>
        <v>1.1882284341443816E-3</v>
      </c>
    </row>
    <row r="181" spans="1:29" ht="19">
      <c r="M181" s="52"/>
      <c r="S181" s="95">
        <v>11356105529</v>
      </c>
      <c r="T181" s="114">
        <v>1280667899</v>
      </c>
      <c r="U181" s="49" t="s">
        <v>574</v>
      </c>
      <c r="W181" s="94">
        <v>12663445723</v>
      </c>
      <c r="X181" s="49" t="s">
        <v>573</v>
      </c>
    </row>
    <row r="182" spans="1:29" ht="20" thickBot="1">
      <c r="M182" s="73"/>
      <c r="S182" s="96">
        <f>Tableau2[[#Totals],[Masse salariale]]-S181</f>
        <v>136182648</v>
      </c>
      <c r="T182" s="113">
        <f>Tableau2[[#Totals],[Masse salariale]]*Z80</f>
        <v>162964948624.50369</v>
      </c>
      <c r="U182" s="49" t="s">
        <v>576</v>
      </c>
      <c r="W182" s="97">
        <f>Tableau2[[#Totals],[TOTAL SCSP 2021]]-W181</f>
        <v>165153143</v>
      </c>
    </row>
    <row r="183" spans="1:29" ht="125" customHeight="1" thickTop="1" thickBot="1">
      <c r="E183" s="70" t="s">
        <v>564</v>
      </c>
      <c r="F183" s="70" t="s">
        <v>563</v>
      </c>
      <c r="G183" s="70" t="s">
        <v>562</v>
      </c>
      <c r="H183" s="70" t="s">
        <v>568</v>
      </c>
      <c r="I183" s="70" t="s">
        <v>485</v>
      </c>
      <c r="J183" s="70" t="s">
        <v>569</v>
      </c>
      <c r="K183" s="70" t="s">
        <v>471</v>
      </c>
      <c r="L183" s="70" t="s">
        <v>538</v>
      </c>
      <c r="M183" s="71" t="s">
        <v>480</v>
      </c>
      <c r="N183" s="61" t="s">
        <v>467</v>
      </c>
      <c r="O183" s="74" t="s">
        <v>565</v>
      </c>
      <c r="P183" s="74" t="s">
        <v>566</v>
      </c>
      <c r="Q183" s="75" t="s">
        <v>481</v>
      </c>
      <c r="R183" s="62" t="s">
        <v>468</v>
      </c>
      <c r="S183" s="77" t="s">
        <v>383</v>
      </c>
      <c r="T183" s="77" t="s">
        <v>384</v>
      </c>
      <c r="U183" s="77" t="s">
        <v>483</v>
      </c>
      <c r="V183" s="77" t="s">
        <v>484</v>
      </c>
      <c r="W183" s="76" t="s">
        <v>482</v>
      </c>
    </row>
    <row r="184" spans="1:29" ht="16" thickTop="1">
      <c r="T184" s="97">
        <f>Tableau2[[#Totals],[Fonctionnement]]-T181</f>
        <v>-68226118</v>
      </c>
    </row>
  </sheetData>
  <sortState xmlns:xlrd2="http://schemas.microsoft.com/office/spreadsheetml/2017/richdata2" ref="A8:U191">
    <sortCondition ref="D7"/>
  </sortState>
  <mergeCells count="4">
    <mergeCell ref="B4:D4"/>
    <mergeCell ref="S4:W4"/>
    <mergeCell ref="O4:Q4"/>
    <mergeCell ref="E4:M4"/>
  </mergeCells>
  <phoneticPr fontId="24" type="noConversion"/>
  <pageMargins left="0.70866141732283472" right="0.70866141732283472" top="0.74803149606299213" bottom="0.39370078740157483" header="0.31496062992125984" footer="0.31496062992125984"/>
  <pageSetup paperSize="8" scale="36" fitToHeight="0" orientation="landscape" r:id="rId1"/>
  <headerFooter>
    <oddFooter>&amp;LDGESIP B2-2&amp;CCNESER - 19 novembre 2019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BF4FC03D-DAC5-4176-8BE7-FD7AA37109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3AB55E0CC5DA459F57F5A42893F46A005A087D358B12CA4E82A8A8BA9B8A8CF200D3544DBFAD4F664AA25DF68E6D1F0A9E00689F2856DFEDCE40890FDCED81A7DFC900991A5D3FAF88D04C9EB8625D1CFA4851" ma:contentTypeVersion="2" ma:contentTypeDescription="Crée un document." ma:contentTypeScope="" ma:versionID="4c8e57f3247504277e06edc9ce46fa3f">
  <xsd:schema xmlns:xsd="http://www.w3.org/2001/XMLSchema" xmlns:xs="http://www.w3.org/2001/XMLSchema" xmlns:p="http://schemas.microsoft.com/office/2006/metadata/properties" xmlns:ns2="BF4FC03D-DAC5-4176-8BE7-FD7AA3710973" targetNamespace="http://schemas.microsoft.com/office/2006/metadata/properties" ma:root="true" ma:fieldsID="bd22d7607e1da6770b5bb649274093a2" ns2:_="">
    <xsd:import namespace="BF4FC03D-DAC5-4176-8BE7-FD7AA3710973"/>
    <xsd:element name="properties">
      <xsd:complexType>
        <xsd:sequence>
          <xsd:element name="documentManagement">
            <xsd:complexType>
              <xsd:all>
                <xsd:element ref="ns2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FC03D-DAC5-4176-8BE7-FD7AA3710973" elementFormDefault="qualified">
    <xsd:import namespace="http://schemas.microsoft.com/office/2006/documentManagement/types"/>
    <xsd:import namespace="http://schemas.microsoft.com/office/infopath/2007/PartnerControls"/>
    <xsd:element name="Description0" ma:index="8" nillable="true" ma:displayName="Description" ma:description="Description du document" ma:internalName="Description0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 ma:readOnly="true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7A9943-90C7-4019-A9A2-4E0C0213D2FE}">
  <ds:schemaRefs>
    <ds:schemaRef ds:uri="http://schemas.microsoft.com/office/2006/metadata/properties"/>
    <ds:schemaRef ds:uri="http://schemas.microsoft.com/office/infopath/2007/PartnerControls"/>
    <ds:schemaRef ds:uri="BF4FC03D-DAC5-4176-8BE7-FD7AA3710973"/>
  </ds:schemaRefs>
</ds:datastoreItem>
</file>

<file path=customXml/itemProps2.xml><?xml version="1.0" encoding="utf-8"?>
<ds:datastoreItem xmlns:ds="http://schemas.openxmlformats.org/officeDocument/2006/customXml" ds:itemID="{E69D2791-F64A-4749-B2AC-0A6FA1F8A3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6EF45A-04E9-4E75-A41E-35F43B6DE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FC03D-DAC5-4176-8BE7-FD7AA37109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Feuil1</vt:lpstr>
      <vt:lpstr>Feuil1 (2)</vt:lpstr>
      <vt:lpstr>TABLEAU</vt:lpstr>
      <vt:lpstr>Feuil1!Impression_des_titres</vt:lpstr>
      <vt:lpstr>'Feuil1 (2)'!Impression_des_titres</vt:lpstr>
      <vt:lpstr>TABLEAU!Impression_des_titres</vt:lpstr>
      <vt:lpstr>Feuil1!Zone_d_impression</vt:lpstr>
      <vt:lpstr>'Feuil1 (2)'!Zone_d_impression</vt:lpstr>
      <vt:lpstr>TABLEAU!Zone_d_impression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Administration centrale</dc:creator>
  <cp:lastModifiedBy>Hervé CHRISTOFOL</cp:lastModifiedBy>
  <cp:lastPrinted>2020-11-10T12:11:03Z</cp:lastPrinted>
  <dcterms:created xsi:type="dcterms:W3CDTF">2016-11-30T16:31:23Z</dcterms:created>
  <dcterms:modified xsi:type="dcterms:W3CDTF">2020-12-17T16:29:55Z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0x010100873AB55E0CC5DA459F57F5A42893F46A005A087D358B12CA4E82A8A8BA9B8A8CF200D3544DBFAD4F664AA25DF68E6D1F0A9E00689F2856DFEDCE40890FDCED81A7DFC900991A5D3FAF88D04C9EB8625D1CFA4851</vt:lpwstr>
  </property>
</Properties>
</file>